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IO\Daria\Child-Poverty\2023-08-10\"/>
    </mc:Choice>
  </mc:AlternateContent>
  <xr:revisionPtr revIDLastSave="0" documentId="13_ncr:1_{7873DAFB-9022-4277-A677-1C2F97FB151F}" xr6:coauthVersionLast="47" xr6:coauthVersionMax="47" xr10:uidLastSave="{00000000-0000-0000-0000-000000000000}"/>
  <bookViews>
    <workbookView xWindow="-24120" yWindow="-120" windowWidth="24240" windowHeight="13140" tabRatio="888"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0" i="11" l="1"/>
  <c r="B49" i="11"/>
  <c r="C44" i="11"/>
  <c r="C50" i="11"/>
  <c r="D50" i="11" l="1"/>
  <c r="C49" i="11"/>
  <c r="D49" i="11" s="1"/>
  <c r="E50" i="11"/>
  <c r="E49" i="11"/>
  <c r="C63" i="11"/>
  <c r="C62" i="11"/>
  <c r="C59" i="11"/>
  <c r="C53" i="11"/>
  <c r="C52" i="11"/>
  <c r="C47" i="11"/>
  <c r="C46" i="11"/>
  <c r="C41" i="11"/>
  <c r="C40" i="11"/>
  <c r="C37" i="11"/>
  <c r="C36" i="11"/>
  <c r="C33" i="11"/>
  <c r="C32" i="11"/>
  <c r="C29" i="11"/>
  <c r="C28" i="11"/>
  <c r="C25" i="11"/>
  <c r="C24" i="11"/>
  <c r="C21" i="11"/>
  <c r="C20" i="11"/>
  <c r="C17" i="11"/>
  <c r="C16" i="11"/>
  <c r="C13" i="11"/>
  <c r="C12" i="11"/>
  <c r="C9" i="11"/>
  <c r="C8" i="5" s="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E56" i="11"/>
  <c r="E55" i="11"/>
  <c r="C9" i="5" l="1"/>
  <c r="C10" i="5" s="1"/>
  <c r="B36" i="11"/>
  <c r="B7" i="3"/>
  <c r="B62" i="11"/>
  <c r="E36" i="11" l="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F32" i="7" s="1"/>
  <c r="B26" i="7"/>
  <c r="F30" i="7" s="1"/>
  <c r="B19" i="7"/>
  <c r="F22" i="7" s="1"/>
  <c r="B13" i="7"/>
  <c r="F18" i="7" s="1"/>
  <c r="B7" i="7"/>
  <c r="F11" i="7" s="1"/>
  <c r="B7" i="1"/>
  <c r="C46" i="7"/>
  <c r="C45" i="7"/>
  <c r="C44" i="7"/>
  <c r="C43" i="7"/>
  <c r="C41" i="7"/>
  <c r="C40" i="7"/>
  <c r="C39" i="7"/>
  <c r="I39" i="7" s="1"/>
  <c r="C38" i="7"/>
  <c r="C35" i="7"/>
  <c r="D35" i="7" s="1"/>
  <c r="C34" i="7"/>
  <c r="C33" i="7"/>
  <c r="C32" i="7"/>
  <c r="C30" i="7"/>
  <c r="C29" i="7"/>
  <c r="I29" i="7" s="1"/>
  <c r="C28" i="7"/>
  <c r="C27" i="7"/>
  <c r="D27" i="7" s="1"/>
  <c r="C24" i="7"/>
  <c r="C23" i="7"/>
  <c r="C22" i="7"/>
  <c r="C21" i="7"/>
  <c r="C18" i="7"/>
  <c r="D18" i="7" s="1"/>
  <c r="C17" i="7"/>
  <c r="D17" i="7" s="1"/>
  <c r="C16" i="7"/>
  <c r="C15" i="7"/>
  <c r="D15" i="7" s="1"/>
  <c r="C12" i="7"/>
  <c r="C11" i="7"/>
  <c r="C10" i="7"/>
  <c r="C9" i="7"/>
  <c r="C10" i="12"/>
  <c r="I45" i="7"/>
  <c r="F44" i="7"/>
  <c r="I40" i="7"/>
  <c r="F35" i="7"/>
  <c r="I34" i="7"/>
  <c r="F33" i="7"/>
  <c r="F24" i="7"/>
  <c r="F21" i="7"/>
  <c r="F15" i="7"/>
  <c r="F12" i="7"/>
  <c r="F9" i="7"/>
  <c r="D33" i="7"/>
  <c r="D29" i="7"/>
  <c r="D22" i="7"/>
  <c r="F43" i="7" l="1"/>
  <c r="D21" i="7"/>
  <c r="H21" i="7" s="1"/>
  <c r="D23" i="7"/>
  <c r="D32" i="7"/>
  <c r="D34" i="7"/>
  <c r="I17" i="7"/>
  <c r="F27" i="7"/>
  <c r="F38" i="7"/>
  <c r="H15" i="7"/>
  <c r="I23" i="7"/>
  <c r="E9" i="5"/>
  <c r="D9" i="5"/>
  <c r="H27" i="7"/>
  <c r="F16" i="7"/>
  <c r="F28" i="7"/>
  <c r="D16" i="7"/>
  <c r="D28" i="7"/>
  <c r="D30" i="7"/>
  <c r="H30" i="7" s="1"/>
  <c r="E44" i="11"/>
  <c r="D11" i="7"/>
  <c r="H11" i="7" s="1"/>
  <c r="D59" i="11"/>
  <c r="D44" i="11"/>
  <c r="H32" i="7"/>
  <c r="D40" i="7"/>
  <c r="F34" i="7"/>
  <c r="H34" i="7" s="1"/>
  <c r="I9" i="7"/>
  <c r="I27" i="7"/>
  <c r="I43" i="7"/>
  <c r="I10" i="7"/>
  <c r="H18" i="7"/>
  <c r="H22" i="7"/>
  <c r="H33" i="7"/>
  <c r="H35" i="7"/>
  <c r="D24" i="7"/>
  <c r="H24" i="7" s="1"/>
  <c r="D46" i="7"/>
  <c r="H46" i="7" s="1"/>
  <c r="F45" i="7"/>
  <c r="I11" i="7"/>
  <c r="I41" i="7"/>
  <c r="F39" i="7"/>
  <c r="I15" i="7"/>
  <c r="I30" i="7"/>
  <c r="I44" i="7"/>
  <c r="I16" i="7"/>
  <c r="I32" i="7"/>
  <c r="I18" i="7"/>
  <c r="I33" i="7"/>
  <c r="I28" i="7"/>
  <c r="I21" i="7"/>
  <c r="I22" i="7"/>
  <c r="I38" i="7"/>
  <c r="F23" i="7"/>
  <c r="H23" i="7" s="1"/>
  <c r="F17" i="7"/>
  <c r="H17" i="7" s="1"/>
  <c r="F29" i="7"/>
  <c r="H29" i="7" s="1"/>
  <c r="F40" i="7"/>
  <c r="H40" i="7" s="1"/>
  <c r="I12" i="7"/>
  <c r="I24" i="7"/>
  <c r="I35" i="7"/>
  <c r="I46" i="7"/>
  <c r="F10" i="7"/>
  <c r="D38" i="7"/>
  <c r="D41" i="7"/>
  <c r="H41" i="7" s="1"/>
  <c r="D39" i="7"/>
  <c r="D43" i="7"/>
  <c r="H43" i="7" s="1"/>
  <c r="D44" i="7"/>
  <c r="H44" i="7" s="1"/>
  <c r="D45" i="7"/>
  <c r="D9" i="7"/>
  <c r="H9" i="7" s="1"/>
  <c r="D10" i="7"/>
  <c r="D12" i="7"/>
  <c r="H12" i="7" s="1"/>
  <c r="H38" i="7" l="1"/>
  <c r="H16" i="7"/>
  <c r="H28" i="7"/>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C32" i="12"/>
  <c r="C33" i="12"/>
  <c r="C37" i="12"/>
  <c r="C38" i="12"/>
  <c r="C39" i="12"/>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C21" i="12"/>
  <c r="C22" i="12"/>
  <c r="G22" i="12" s="1"/>
  <c r="C23" i="12"/>
  <c r="C25" i="12"/>
  <c r="C26" i="12"/>
  <c r="C27" i="12"/>
  <c r="C28" i="12"/>
  <c r="C15" i="1"/>
  <c r="C16" i="1"/>
  <c r="C17" i="1"/>
  <c r="C18" i="1"/>
  <c r="C20" i="1"/>
  <c r="C21" i="1"/>
  <c r="C22" i="1"/>
  <c r="C23" i="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B25" i="11"/>
  <c r="E25" i="11" s="1"/>
  <c r="B24" i="11"/>
  <c r="E24" i="11" s="1"/>
  <c r="B21" i="11"/>
  <c r="E21" i="11" s="1"/>
  <c r="B20" i="11"/>
  <c r="E20" i="11" s="1"/>
  <c r="B17" i="11"/>
  <c r="E17" i="11" s="1"/>
  <c r="B16" i="11"/>
  <c r="E16" i="11" s="1"/>
  <c r="B9" i="1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31" i="12"/>
  <c r="G20" i="12"/>
  <c r="G23" i="1"/>
  <c r="G42" i="1"/>
  <c r="G43" i="1"/>
  <c r="G44" i="1"/>
  <c r="G45" i="1"/>
  <c r="G39" i="12"/>
  <c r="G21" i="10"/>
  <c r="G20" i="10"/>
  <c r="E9" i="11" l="1"/>
  <c r="B8" i="5"/>
  <c r="G32" i="1"/>
  <c r="G28" i="1"/>
  <c r="G28" i="12"/>
  <c r="G21" i="12"/>
  <c r="G18" i="12"/>
  <c r="G16" i="12"/>
  <c r="G13" i="12"/>
  <c r="G11" i="12"/>
  <c r="G17" i="1"/>
  <c r="G37" i="1"/>
  <c r="G39" i="1"/>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H12" i="10" s="1"/>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H20" i="10" s="1"/>
  <c r="G22" i="1"/>
  <c r="I26" i="1"/>
  <c r="D26" i="1"/>
  <c r="I16" i="10"/>
  <c r="D16" i="10"/>
  <c r="H16" i="10" s="1"/>
  <c r="I25" i="1"/>
  <c r="D25" i="1"/>
  <c r="H21" i="10"/>
  <c r="G31" i="1"/>
  <c r="D9" i="11"/>
  <c r="G40" i="1"/>
  <c r="D25" i="11"/>
  <c r="G26" i="12"/>
  <c r="G23" i="7"/>
  <c r="G43" i="12"/>
  <c r="G59" i="12"/>
  <c r="D41" i="11"/>
  <c r="H15" i="10" l="1"/>
  <c r="E8" i="5"/>
  <c r="D8" i="5"/>
  <c r="B10" i="5"/>
  <c r="D10" i="5" s="1"/>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alcChain>
</file>

<file path=xl/sharedStrings.xml><?xml version="1.0" encoding="utf-8"?>
<sst xmlns="http://schemas.openxmlformats.org/spreadsheetml/2006/main" count="349" uniqueCount="146">
  <si>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</si>
  <si>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</si>
  <si>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</si>
  <si>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</si>
  <si>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</si>
  <si>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</si>
  <si>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</si>
  <si>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</si>
  <si>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</si>
  <si>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</si>
  <si>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</si>
  <si>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</si>
  <si>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</si>
  <si>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</si>
  <si>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</si>
  <si>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</si>
  <si>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</si>
  <si>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</si>
  <si>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</si>
  <si>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</si>
  <si>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</si>
  <si>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</si>
  <si>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</si>
  <si>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</si>
  <si>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</si>
  <si>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</si>
  <si>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</si>
  <si>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</si>
  <si>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</si>
  <si>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</si>
  <si>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</si>
  <si>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</si>
  <si>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</si>
  <si>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</si>
  <si>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</si>
  <si>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</si>
  <si>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</si>
  <si>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</si>
  <si>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</si>
  <si>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</si>
  <si>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</si>
  <si>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</si>
  <si>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</si>
  <si>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</si>
  <si>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</si>
  <si>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</si>
  <si>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</si>
  <si>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</si>
  <si>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</si>
  <si>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</si>
  <si>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</si>
  <si>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</si>
  <si>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</si>
  <si>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</si>
  <si>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</si>
  <si>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</si>
  <si>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</si>
  <si>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</si>
  <si>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</si>
  <si>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</si>
  <si>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</si>
  <si>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</si>
  <si>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</si>
  <si>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</si>
  <si>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</si>
  <si>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</si>
  <si>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</si>
  <si>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</si>
  <si>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</si>
  <si>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</si>
  <si>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</si>
  <si>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</si>
  <si>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</si>
  <si>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</si>
  <si>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</si>
  <si>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</si>
  <si>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</si>
  <si>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</si>
  <si>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</si>
  <si>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</si>
  <si>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</si>
  <si>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</si>
  <si>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</si>
  <si>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</si>
  <si>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</si>
  <si>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</si>
  <si>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</si>
  <si>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</si>
  <si>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</si>
  <si>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</si>
  <si>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</si>
  <si>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</si>
  <si>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</si>
  <si>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</si>
  <si>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</si>
  <si>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</si>
  <si>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</si>
  <si>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</si>
  <si>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</si>
  <si>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</si>
  <si>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</si>
  <si>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</si>
  <si>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</si>
  <si>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</si>
  <si>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</si>
  <si>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</si>
  <si>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</si>
  <si>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</si>
  <si>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</si>
  <si>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</si>
  <si>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</si>
  <si>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</si>
  <si>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</si>
  <si>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</si>
  <si>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</si>
  <si>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</si>
  <si>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</si>
  <si>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</si>
  <si>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</si>
  <si>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</si>
  <si>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</si>
  <si>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</si>
  <si>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</si>
  <si>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</si>
  <si>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</si>
  <si>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</si>
  <si>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</si>
  <si>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</si>
  <si>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</si>
  <si>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</si>
  <si>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</si>
  <si>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</si>
  <si>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</si>
  <si>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</si>
  <si>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</si>
  <si>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People in SPM Poverty by Demographic Characteristics, Under Enacted Policies for Empire State Child Credit, Public Assistance, and Child Care Subsidies, Plus Temporary ESCC Supplement, 2019</t>
  </si>
  <si>
    <t>Enacted Policies for Empire State Child Credit, Public Assistance, and Child Care Subsidies, Plus Temporary ESCC Supplement</t>
  </si>
  <si>
    <t>Characteristics of Individuals in SPM Poverty in New York Under Enacted Policies for Empire State Child Credit, Public Assistance, and Child Care Subsidies, Plus Temporary ESCC Supplement, 2019</t>
  </si>
  <si>
    <t>Characteristics of Individuals by Race in SPM Poverty in New York Under Enacted Policies for Empire State Child Credit, Public Assistance, and Child Care Subsidies, Plus Temporary ESCC Supplement, 2019</t>
  </si>
  <si>
    <t xml:space="preserve">Characteristics of Families in SPM Poverty in New York Under Enacted Policies for Empire State Child Credit, Public Assistance, and Child Care Subsidies, Plus Temporary ESCC Supplement, 2019  </t>
  </si>
  <si>
    <t>Changes in Household Resources Under Enacted Policies for Empire State Child Credit, Public Assistance, and Child Care Subsidies, Plus Temporary ESCC Supplement, 20191</t>
  </si>
  <si>
    <t>Employment Changes by Characteristics Under Enacted Policies for Empire State Child Credit, Public Assistance, and Child Care Subsidies, Plus Temporary ESCC Supplement, 2019</t>
  </si>
  <si>
    <t>Change in Benefit Programs Under Enacted Policies for Empire State Child Credit, Public Assistance, and Child Care Subsidies, Plus Temporary ESCC Supplement, 2019</t>
  </si>
  <si>
    <t>Change in Government Costs Under Enacted Policies for Empire State Child Credit, Public Assistance, and Child Care Subsidies, Plus Temporary ESCC Supplement, 2019</t>
  </si>
  <si>
    <t>Empire State Child Credit</t>
  </si>
  <si>
    <t>No employment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</si>
</sst>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164" fontId="1" fillId="0" borderId="0" xfId="1" quotePrefix="1" applyNumberFormat="1" applyFont="1" applyAlignment="1">
      <alignment horizontal="center"/>
    </xf>
    <xf numFmtId="0" fontId="8" fillId="0" borderId="0" xfId="0" applyFont="1"/>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e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NY19_Enact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re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tables"/>
      <sheetName val="CustomOutput (table 5)"/>
      <sheetName val="Script (key results)"/>
      <sheetName val="ESCC"/>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tabSelected="1" zoomScaleNormal="100" workbookViewId="0"/>
  </sheetViews>
  <sheetFormatPr defaultColWidth="9.1796875" defaultRowHeight="13" x14ac:dyDescent="0.3"/>
  <cols>
    <col min="1" max="1" width="41.36328125" style="1" customWidth="1"/>
    <col min="2" max="2" width="15.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78</v>
      </c>
      <c r="B1" s="25"/>
    </row>
    <row r="2" spans="1:9" x14ac:dyDescent="0.3">
      <c r="A2" s="6" t="s">
        <v>135</v>
      </c>
      <c r="B2" s="25"/>
    </row>
    <row r="3" spans="1:9" x14ac:dyDescent="0.3">
      <c r="A3" s="1" t="s">
        <v>145</v>
      </c>
      <c r="B3" s="25"/>
    </row>
    <row r="4" spans="1:9" x14ac:dyDescent="0.3">
      <c r="A4" s="1" t="s">
        <v>112</v>
      </c>
      <c r="E4" s="72"/>
      <c r="F4" s="72"/>
      <c r="G4" s="72"/>
    </row>
    <row r="5" spans="1:9" ht="25.5" customHeight="1" thickBot="1" x14ac:dyDescent="0.35">
      <c r="E5" s="73" t="s">
        <v>136</v>
      </c>
      <c r="F5" s="73"/>
      <c r="G5" s="73"/>
      <c r="H5" s="73"/>
      <c r="I5" s="73"/>
    </row>
    <row r="6" spans="1:9" ht="39.5" thickBot="1" x14ac:dyDescent="0.35">
      <c r="A6" s="3"/>
      <c r="B6" s="18" t="s">
        <v>72</v>
      </c>
      <c r="C6" s="23" t="s">
        <v>71</v>
      </c>
      <c r="D6" s="23" t="s">
        <v>75</v>
      </c>
      <c r="E6" s="24" t="s">
        <v>70</v>
      </c>
      <c r="F6" s="23" t="s">
        <v>76</v>
      </c>
      <c r="G6" s="23" t="s">
        <v>73</v>
      </c>
      <c r="H6" s="23" t="s">
        <v>74</v>
      </c>
      <c r="I6" s="23" t="s">
        <v>77</v>
      </c>
    </row>
    <row r="7" spans="1:9" ht="14.5" x14ac:dyDescent="0.3">
      <c r="A7" s="1" t="s">
        <v>65</v>
      </c>
      <c r="B7" s="31">
        <f>'[1]ATTIS Summary Tables'!$J$615/1000</f>
        <v>18879.900000000001</v>
      </c>
      <c r="C7" s="31">
        <f>'[2]SPM poverty tables'!$E$615/1000</f>
        <v>2556.8000000000002</v>
      </c>
      <c r="D7" s="26">
        <f>C7/$B7</f>
        <v>0.13542444610405777</v>
      </c>
      <c r="E7" s="31">
        <f>'[3]SPM tables'!$E$615/1000</f>
        <v>2459.7600000000002</v>
      </c>
      <c r="F7" s="32">
        <f>E7/$B7</f>
        <v>0.13028458837176043</v>
      </c>
      <c r="G7" s="28">
        <f>E7-C7</f>
        <v>-97.039999999999964</v>
      </c>
      <c r="H7" s="33">
        <f>ROUND((F7-D7)*100,2)</f>
        <v>-0.51</v>
      </c>
      <c r="I7" s="26">
        <f>(E7-C7)/C7</f>
        <v>-3.7953692115143912E-2</v>
      </c>
    </row>
    <row r="8" spans="1:9" x14ac:dyDescent="0.3">
      <c r="A8" s="12" t="s">
        <v>19</v>
      </c>
      <c r="B8" s="34"/>
      <c r="C8" s="34"/>
      <c r="E8" s="34"/>
      <c r="H8" s="35"/>
      <c r="I8" s="26"/>
    </row>
    <row r="9" spans="1:9" x14ac:dyDescent="0.3">
      <c r="A9" s="5" t="s">
        <v>55</v>
      </c>
      <c r="B9" s="36">
        <f>'[1]ATTIS Summary Tables'!$J$839/1000</f>
        <v>3993.93</v>
      </c>
      <c r="C9" s="36">
        <f>'[2]SPM poverty tables'!$E$839/1000</f>
        <v>556.33500000000004</v>
      </c>
      <c r="D9" s="26">
        <f t="shared" ref="D9:D12" si="0">C9/$B9</f>
        <v>0.13929513036032179</v>
      </c>
      <c r="E9" s="36">
        <f>'[3]SPM tables'!$E$839/1000</f>
        <v>503.68299999999999</v>
      </c>
      <c r="F9" s="32">
        <f t="shared" ref="F9:F12" si="1">E9/$B9</f>
        <v>0.12611212514991499</v>
      </c>
      <c r="G9" s="28">
        <f>E9-C9</f>
        <v>-52.652000000000044</v>
      </c>
      <c r="H9" s="33">
        <f t="shared" ref="H9:H12" si="2">ROUND((F9-D9)*100,2)</f>
        <v>-1.32</v>
      </c>
      <c r="I9" s="26">
        <f t="shared" ref="I9:I12" si="3">(E9-C9)/C9</f>
        <v>-9.464081893103983E-2</v>
      </c>
    </row>
    <row r="10" spans="1:9" x14ac:dyDescent="0.3">
      <c r="A10" s="13" t="s">
        <v>56</v>
      </c>
      <c r="B10" s="36">
        <f>SUM('[1]ATTIS Summary Tables'!$J$857:$J$858)/1000</f>
        <v>1108.269</v>
      </c>
      <c r="C10" s="36">
        <f>SUM('[2]SPM poverty tables'!$E$857:$E$858)/1000</f>
        <v>168.679</v>
      </c>
      <c r="D10" s="26">
        <f t="shared" si="0"/>
        <v>0.15220041343753185</v>
      </c>
      <c r="E10" s="36">
        <f>SUM('[3]SPM tables'!$E$857:$E$858)/1000</f>
        <v>147.31</v>
      </c>
      <c r="F10" s="32">
        <f t="shared" si="1"/>
        <v>0.13291899349345693</v>
      </c>
      <c r="G10" s="28">
        <f t="shared" ref="G10:G21" si="4">E10-C10</f>
        <v>-21.369</v>
      </c>
      <c r="H10" s="33">
        <f t="shared" si="2"/>
        <v>-1.93</v>
      </c>
      <c r="I10" s="26">
        <f t="shared" si="3"/>
        <v>-0.12668441240462652</v>
      </c>
    </row>
    <row r="11" spans="1:9" x14ac:dyDescent="0.3">
      <c r="A11" s="13" t="s">
        <v>57</v>
      </c>
      <c r="B11" s="36">
        <f>SUM('[1]ATTIS Summary Tables'!$J$859:$J$860)/1000</f>
        <v>2885.67</v>
      </c>
      <c r="C11" s="36">
        <f>SUM('[2]SPM poverty tables'!$E$859:$E$860)/1000</f>
        <v>387.65600000000001</v>
      </c>
      <c r="D11" s="26">
        <f t="shared" si="0"/>
        <v>0.13433829925112711</v>
      </c>
      <c r="E11" s="36">
        <f>SUM('[3]SPM tables'!$E$859:$E$860)/1000</f>
        <v>356.37299999999999</v>
      </c>
      <c r="F11" s="32">
        <f t="shared" si="1"/>
        <v>0.12349748931790537</v>
      </c>
      <c r="G11" s="28">
        <f t="shared" si="4"/>
        <v>-31.283000000000015</v>
      </c>
      <c r="H11" s="33">
        <f t="shared" si="2"/>
        <v>-1.08</v>
      </c>
      <c r="I11" s="26">
        <f t="shared" si="3"/>
        <v>-8.0697835194089643E-2</v>
      </c>
    </row>
    <row r="12" spans="1:9" x14ac:dyDescent="0.3">
      <c r="A12" s="5" t="s">
        <v>58</v>
      </c>
      <c r="B12" s="36">
        <f>SUM('[1]ATTIS Summary Tables'!$J$634:$J$637)/1000</f>
        <v>14885.93</v>
      </c>
      <c r="C12" s="36">
        <f>SUM('[2]SPM poverty tables'!$E$634:$E$637)/1000</f>
        <v>2000.4680000000001</v>
      </c>
      <c r="D12" s="26">
        <f t="shared" si="0"/>
        <v>0.13438649785401383</v>
      </c>
      <c r="E12" s="36">
        <f>SUM('[3]SPM tables'!$E$634:$E$637)/1000</f>
        <v>1956.075</v>
      </c>
      <c r="F12" s="32">
        <f t="shared" si="1"/>
        <v>0.13140428579201971</v>
      </c>
      <c r="G12" s="28">
        <f t="shared" si="4"/>
        <v>-44.393000000000029</v>
      </c>
      <c r="H12" s="33">
        <f t="shared" si="2"/>
        <v>-0.3</v>
      </c>
      <c r="I12" s="26">
        <f t="shared" si="3"/>
        <v>-2.2191307234107234E-2</v>
      </c>
    </row>
    <row r="13" spans="1:9" ht="14.5" x14ac:dyDescent="0.3">
      <c r="A13" s="12" t="s">
        <v>59</v>
      </c>
      <c r="B13" s="34"/>
      <c r="C13" s="34"/>
      <c r="E13" s="34"/>
      <c r="F13" s="32"/>
      <c r="H13" s="35"/>
      <c r="I13" s="26"/>
    </row>
    <row r="14" spans="1:9" x14ac:dyDescent="0.3">
      <c r="A14" s="5" t="s">
        <v>23</v>
      </c>
      <c r="B14" s="36">
        <f>'[1]ATTIS Summary Tables'!$J$619/1000</f>
        <v>1627.8</v>
      </c>
      <c r="C14" s="36">
        <f>'[2]SPM poverty tables'!$E$619/1000</f>
        <v>344.77100000000002</v>
      </c>
      <c r="D14" s="26">
        <f t="shared" ref="D14:D18" si="5">C14/$B14</f>
        <v>0.21180181840520951</v>
      </c>
      <c r="E14" s="36">
        <f>'[3]SPM tables'!$E$619/1000</f>
        <v>332.565</v>
      </c>
      <c r="F14" s="32">
        <f t="shared" ref="F14:F18" si="6">E14/$B14</f>
        <v>0.2043033542204202</v>
      </c>
      <c r="G14" s="28">
        <f t="shared" si="4"/>
        <v>-12.206000000000017</v>
      </c>
      <c r="H14" s="33">
        <f t="shared" ref="H14:H18" si="7">ROUND((F14-D14)*100,2)</f>
        <v>-0.75</v>
      </c>
      <c r="I14" s="26">
        <f t="shared" ref="I14:I18" si="8">(E14-C14)/C14</f>
        <v>-3.5403209666706355E-2</v>
      </c>
    </row>
    <row r="15" spans="1:9" x14ac:dyDescent="0.3">
      <c r="A15" s="5" t="s">
        <v>22</v>
      </c>
      <c r="B15" s="36">
        <f>'[1]ATTIS Summary Tables'!$J$618/1000</f>
        <v>2625.71</v>
      </c>
      <c r="C15" s="36">
        <f>'[2]SPM poverty tables'!$E$618/1000</f>
        <v>447.202</v>
      </c>
      <c r="D15" s="26">
        <f t="shared" si="5"/>
        <v>0.17031660008150176</v>
      </c>
      <c r="E15" s="36">
        <f>'[3]SPM tables'!$E$618/1000</f>
        <v>429.38</v>
      </c>
      <c r="F15" s="32">
        <f t="shared" si="6"/>
        <v>0.16352910260462883</v>
      </c>
      <c r="G15" s="28">
        <f t="shared" si="4"/>
        <v>-17.822000000000003</v>
      </c>
      <c r="H15" s="33">
        <f t="shared" si="7"/>
        <v>-0.68</v>
      </c>
      <c r="I15" s="26">
        <f t="shared" si="8"/>
        <v>-3.9852236796794296E-2</v>
      </c>
    </row>
    <row r="16" spans="1:9" x14ac:dyDescent="0.3">
      <c r="A16" s="5" t="s">
        <v>24</v>
      </c>
      <c r="B16" s="36">
        <f>'[1]ATTIS Summary Tables'!$J$620/1000</f>
        <v>3645.79</v>
      </c>
      <c r="C16" s="36">
        <f>'[2]SPM poverty tables'!$E$620/1000</f>
        <v>720.529</v>
      </c>
      <c r="D16" s="26">
        <f t="shared" si="5"/>
        <v>0.1976331604398498</v>
      </c>
      <c r="E16" s="36">
        <f>'[3]SPM tables'!$E$620/1000</f>
        <v>685.20899999999995</v>
      </c>
      <c r="F16" s="32">
        <f t="shared" si="6"/>
        <v>0.18794527386382648</v>
      </c>
      <c r="G16" s="28">
        <f t="shared" si="4"/>
        <v>-35.32000000000005</v>
      </c>
      <c r="H16" s="33">
        <f t="shared" si="7"/>
        <v>-0.97</v>
      </c>
      <c r="I16" s="26">
        <f t="shared" si="8"/>
        <v>-4.9019539810333863E-2</v>
      </c>
    </row>
    <row r="17" spans="1:9" x14ac:dyDescent="0.3">
      <c r="A17" s="5" t="s">
        <v>25</v>
      </c>
      <c r="B17" s="36">
        <f>'[1]ATTIS Summary Tables'!$J$617/1000</f>
        <v>10430.799999999999</v>
      </c>
      <c r="C17" s="36">
        <f>'[2]SPM poverty tables'!$E$617/1000</f>
        <v>951.55799999999999</v>
      </c>
      <c r="D17" s="26">
        <f t="shared" si="5"/>
        <v>9.1225792844268905E-2</v>
      </c>
      <c r="E17" s="36">
        <f>'[3]SPM tables'!$E$617/1000</f>
        <v>922.22799999999995</v>
      </c>
      <c r="F17" s="32">
        <f t="shared" si="6"/>
        <v>8.8413927982513324E-2</v>
      </c>
      <c r="G17" s="28">
        <f t="shared" si="4"/>
        <v>-29.330000000000041</v>
      </c>
      <c r="H17" s="33">
        <f t="shared" si="7"/>
        <v>-0.28000000000000003</v>
      </c>
      <c r="I17" s="26">
        <f t="shared" si="8"/>
        <v>-3.082313427032303E-2</v>
      </c>
    </row>
    <row r="18" spans="1:9" x14ac:dyDescent="0.3">
      <c r="A18" s="5" t="s">
        <v>60</v>
      </c>
      <c r="B18" s="36">
        <f>'[1]ATTIS Summary Tables'!$J$621/1000</f>
        <v>549.71500000000003</v>
      </c>
      <c r="C18" s="36">
        <f>'[2]SPM poverty tables'!$E$621/1000</f>
        <v>92.742999999999995</v>
      </c>
      <c r="D18" s="26">
        <f t="shared" si="5"/>
        <v>0.16871105936712658</v>
      </c>
      <c r="E18" s="36">
        <f>'[3]SPM tables'!$E$621/1000</f>
        <v>90.376000000000005</v>
      </c>
      <c r="F18" s="32">
        <f t="shared" si="6"/>
        <v>0.1644051917811957</v>
      </c>
      <c r="G18" s="28">
        <f t="shared" si="4"/>
        <v>-2.3669999999999902</v>
      </c>
      <c r="H18" s="33">
        <f t="shared" si="7"/>
        <v>-0.43</v>
      </c>
      <c r="I18" s="26">
        <f t="shared" si="8"/>
        <v>-2.5522141832806683E-2</v>
      </c>
    </row>
    <row r="19" spans="1:9" x14ac:dyDescent="0.3">
      <c r="A19" s="12" t="s">
        <v>27</v>
      </c>
      <c r="B19" s="34"/>
      <c r="C19" s="34"/>
      <c r="E19" s="34"/>
      <c r="F19" s="32"/>
      <c r="H19" s="35"/>
      <c r="I19" s="26"/>
    </row>
    <row r="20" spans="1:9" x14ac:dyDescent="0.3">
      <c r="A20" s="5" t="s">
        <v>29</v>
      </c>
      <c r="B20" s="36">
        <f>'[1]ATTIS Summary Tables'!$H$2024/1000</f>
        <v>8135.46</v>
      </c>
      <c r="C20" s="36">
        <f>'[2]SPM poverty tables'!$D$2024/1000</f>
        <v>1517.62</v>
      </c>
      <c r="D20" s="37">
        <f t="shared" ref="D20:D21" si="9">C20/$B20</f>
        <v>0.18654384632215018</v>
      </c>
      <c r="E20" s="36">
        <f>'[3]SPM tables'!$D$2024/1000</f>
        <v>1447.05</v>
      </c>
      <c r="F20" s="32">
        <f t="shared" ref="F20:F21" si="10">E20/$B20</f>
        <v>0.17786947511265497</v>
      </c>
      <c r="G20" s="28">
        <f t="shared" si="4"/>
        <v>-70.569999999999936</v>
      </c>
      <c r="H20" s="38">
        <f t="shared" ref="H20:H21" si="11">ROUND((F20-D20)*100,2)</f>
        <v>-0.87</v>
      </c>
      <c r="I20" s="32">
        <f t="shared" ref="I20:I21" si="12">(E20-C20)/C20</f>
        <v>-4.6500441480739542E-2</v>
      </c>
    </row>
    <row r="21" spans="1:9" ht="13.5" thickBot="1" x14ac:dyDescent="0.3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1012.71</v>
      </c>
      <c r="F21" s="41">
        <f t="shared" si="10"/>
        <v>9.4254330611925799E-2</v>
      </c>
      <c r="G21" s="42">
        <f t="shared" si="4"/>
        <v>-26.470000000000027</v>
      </c>
      <c r="H21" s="43">
        <f t="shared" si="11"/>
        <v>-0.25</v>
      </c>
      <c r="I21" s="41">
        <f t="shared" si="12"/>
        <v>-2.5472006774572283E-2</v>
      </c>
    </row>
    <row r="22" spans="1:9" ht="15" customHeight="1" x14ac:dyDescent="0.3">
      <c r="A22" s="74" t="s">
        <v>86</v>
      </c>
      <c r="B22" s="74"/>
      <c r="C22" s="74"/>
      <c r="D22" s="74"/>
      <c r="E22" s="74"/>
      <c r="F22" s="74"/>
      <c r="G22" s="74"/>
      <c r="H22" s="74"/>
      <c r="I22" s="74"/>
    </row>
    <row r="23" spans="1:9" ht="41.25" customHeight="1" x14ac:dyDescent="0.3">
      <c r="A23" s="75" t="s">
        <v>62</v>
      </c>
      <c r="B23" s="75"/>
      <c r="C23" s="75"/>
      <c r="D23" s="75"/>
      <c r="E23" s="75"/>
      <c r="F23" s="75"/>
      <c r="G23" s="75"/>
      <c r="H23" s="75"/>
      <c r="I23" s="75"/>
    </row>
    <row r="24" spans="1:9" x14ac:dyDescent="0.3">
      <c r="E24" s="28"/>
    </row>
    <row r="25" spans="1:9" x14ac:dyDescent="0.3">
      <c r="B25" s="28"/>
      <c r="C25" s="28"/>
      <c r="E25" s="28"/>
    </row>
    <row r="27" spans="1:9" x14ac:dyDescent="0.3">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heetViews>
  <sheetFormatPr defaultColWidth="9.1796875" defaultRowHeight="13" x14ac:dyDescent="0.3"/>
  <cols>
    <col min="1" max="1" width="49.816406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30</v>
      </c>
      <c r="B1" s="25" t="s">
        <v>63</v>
      </c>
    </row>
    <row r="2" spans="1:9" x14ac:dyDescent="0.3">
      <c r="A2" s="6" t="s">
        <v>137</v>
      </c>
      <c r="B2" s="25"/>
    </row>
    <row r="3" spans="1:9" x14ac:dyDescent="0.3">
      <c r="A3" s="71" t="s">
        <v>145</v>
      </c>
      <c r="B3" s="25"/>
    </row>
    <row r="4" spans="1:9" x14ac:dyDescent="0.3">
      <c r="A4" s="1" t="s">
        <v>112</v>
      </c>
      <c r="E4" s="72"/>
      <c r="F4" s="72"/>
      <c r="G4" s="72"/>
    </row>
    <row r="5" spans="1:9" ht="31.5" customHeight="1" thickBot="1" x14ac:dyDescent="0.35">
      <c r="E5" s="73" t="s">
        <v>136</v>
      </c>
      <c r="F5" s="73"/>
      <c r="G5" s="73"/>
      <c r="H5" s="73"/>
      <c r="I5" s="73"/>
    </row>
    <row r="6" spans="1:9" ht="51.75"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32"/>
      <c r="G7" s="28"/>
      <c r="H7" s="45"/>
      <c r="I7" s="26"/>
    </row>
    <row r="8" spans="1:9" ht="14.5" x14ac:dyDescent="0.3">
      <c r="A8" s="12" t="s">
        <v>93</v>
      </c>
      <c r="B8" s="46"/>
      <c r="C8" s="34"/>
      <c r="D8" s="26"/>
      <c r="E8" s="34"/>
      <c r="G8" s="28"/>
      <c r="H8" s="35"/>
      <c r="I8" s="26"/>
    </row>
    <row r="9" spans="1:9" x14ac:dyDescent="0.3">
      <c r="A9" s="5" t="s">
        <v>1</v>
      </c>
      <c r="B9" s="47"/>
      <c r="C9" s="36">
        <f>'[2]SPM poverty tables'!$D$615/1000</f>
        <v>667.553</v>
      </c>
      <c r="D9" s="26">
        <f>C9/$B$7</f>
        <v>3.5357867361585596E-2</v>
      </c>
      <c r="E9" s="36">
        <f>'[3]SPM tables'!$D$615/1000</f>
        <v>654.20600000000002</v>
      </c>
      <c r="F9" s="26">
        <f>E9/$B$7</f>
        <v>3.4650925057865774E-2</v>
      </c>
      <c r="G9" s="28">
        <f>E9-C9</f>
        <v>-13.34699999999998</v>
      </c>
      <c r="H9" s="33">
        <f>ROUND((F9-D9)*100,2)</f>
        <v>-7.0000000000000007E-2</v>
      </c>
      <c r="I9" s="26">
        <f>(E9-C9)/C9</f>
        <v>-1.9993918085904758E-2</v>
      </c>
    </row>
    <row r="10" spans="1:9" x14ac:dyDescent="0.3">
      <c r="A10" s="5" t="s">
        <v>2</v>
      </c>
      <c r="B10" s="47"/>
      <c r="C10" s="36">
        <f>'[2]SPM poverty tables'!$E$615/1000</f>
        <v>2556.8000000000002</v>
      </c>
      <c r="D10" s="26">
        <f t="shared" ref="D10:D12" si="0">C10/$B$7</f>
        <v>0.13542444610405777</v>
      </c>
      <c r="E10" s="36">
        <f>'[3]SPM tables'!$E$615/1000</f>
        <v>2459.7600000000002</v>
      </c>
      <c r="F10" s="26">
        <f t="shared" ref="F10" si="1">E10/$B$7</f>
        <v>0.13028458837176043</v>
      </c>
      <c r="G10" s="28">
        <f t="shared" ref="G10:G45" si="2">E10-C10</f>
        <v>-97.039999999999964</v>
      </c>
      <c r="H10" s="33">
        <f t="shared" ref="H10:H12" si="3">ROUND((F10-D10)*100,2)</f>
        <v>-0.51</v>
      </c>
      <c r="I10" s="26">
        <f t="shared" ref="I10:I12" si="4">(E10-C10)/C10</f>
        <v>-3.7953692115143912E-2</v>
      </c>
    </row>
    <row r="11" spans="1:9" x14ac:dyDescent="0.3">
      <c r="A11" s="5" t="s">
        <v>3</v>
      </c>
      <c r="B11" s="47"/>
      <c r="C11" s="36">
        <f>'[2]SPM poverty tables'!$F$615/1000</f>
        <v>5822.72</v>
      </c>
      <c r="D11" s="26">
        <f t="shared" si="0"/>
        <v>0.30840841318015455</v>
      </c>
      <c r="E11" s="36">
        <f>'[3]SPM tables'!$F$615/1000</f>
        <v>5733.1</v>
      </c>
      <c r="F11" s="26">
        <f t="shared" ref="F11" si="5">E11/$B$7</f>
        <v>0.30366156600405725</v>
      </c>
      <c r="G11" s="28">
        <f t="shared" si="2"/>
        <v>-89.619999999999891</v>
      </c>
      <c r="H11" s="33">
        <f t="shared" si="3"/>
        <v>-0.47</v>
      </c>
      <c r="I11" s="26">
        <f t="shared" si="4"/>
        <v>-1.5391432182897321E-2</v>
      </c>
    </row>
    <row r="12" spans="1:9" x14ac:dyDescent="0.3">
      <c r="A12" s="5" t="s">
        <v>4</v>
      </c>
      <c r="B12" s="47"/>
      <c r="C12" s="36">
        <f>'[2]SPM poverty tables'!$G$615/1000</f>
        <v>8271.4599999999991</v>
      </c>
      <c r="D12" s="26">
        <f t="shared" si="0"/>
        <v>0.43810931201966102</v>
      </c>
      <c r="E12" s="36">
        <f>'[3]SPM tables'!$G$615/1000</f>
        <v>8230.33</v>
      </c>
      <c r="F12" s="26">
        <f t="shared" ref="F12" si="6">E12/$B$7</f>
        <v>0.4359308047182453</v>
      </c>
      <c r="G12" s="28">
        <f t="shared" si="2"/>
        <v>-41.1299999999992</v>
      </c>
      <c r="H12" s="33">
        <f t="shared" si="3"/>
        <v>-0.22</v>
      </c>
      <c r="I12" s="26">
        <f t="shared" si="4"/>
        <v>-4.9725199662452825E-3</v>
      </c>
    </row>
    <row r="13" spans="1:9" x14ac:dyDescent="0.3">
      <c r="A13" s="12" t="s">
        <v>21</v>
      </c>
      <c r="B13" s="46"/>
      <c r="C13" s="34"/>
      <c r="D13" s="26"/>
      <c r="E13" s="34"/>
      <c r="F13" s="26"/>
      <c r="G13" s="28"/>
      <c r="H13" s="35"/>
      <c r="I13" s="26"/>
    </row>
    <row r="14" spans="1:9" x14ac:dyDescent="0.3">
      <c r="A14" s="5" t="s">
        <v>5</v>
      </c>
      <c r="B14" s="47">
        <f>'[1]ATTIS Summary Tables'!$J$633/1000</f>
        <v>3993.93</v>
      </c>
      <c r="C14" s="36"/>
      <c r="D14" s="26"/>
      <c r="E14" s="36"/>
      <c r="F14" s="26"/>
      <c r="G14" s="28"/>
      <c r="H14" s="45"/>
      <c r="I14" s="26"/>
    </row>
    <row r="15" spans="1:9" x14ac:dyDescent="0.3">
      <c r="A15" s="13" t="s">
        <v>1</v>
      </c>
      <c r="B15" s="47"/>
      <c r="C15" s="36">
        <f>'[2]SPM poverty tables'!$D$633/1000</f>
        <v>88.122</v>
      </c>
      <c r="D15" s="26">
        <f>C15/$B$14</f>
        <v>2.2063982092825864E-2</v>
      </c>
      <c r="E15" s="36">
        <f>'[3]SPM tables'!$D$633/1000</f>
        <v>81.96</v>
      </c>
      <c r="F15" s="26">
        <f>E15/$B$14</f>
        <v>2.0521140831211364E-2</v>
      </c>
      <c r="G15" s="28">
        <f t="shared" si="2"/>
        <v>-6.1620000000000061</v>
      </c>
      <c r="H15" s="33">
        <f>ROUND((F15-D15)*100,2)</f>
        <v>-0.15</v>
      </c>
      <c r="I15" s="26">
        <f t="shared" ref="I15:I18" si="7">(E15-C15)/C15</f>
        <v>-6.9925784707564581E-2</v>
      </c>
    </row>
    <row r="16" spans="1:9" x14ac:dyDescent="0.3">
      <c r="A16" s="13" t="s">
        <v>2</v>
      </c>
      <c r="B16" s="47"/>
      <c r="C16" s="36">
        <f>'[2]SPM poverty tables'!$E$633/1000</f>
        <v>556.33500000000004</v>
      </c>
      <c r="D16" s="26">
        <f t="shared" ref="D16:F18" si="8">C16/$B$14</f>
        <v>0.13929513036032179</v>
      </c>
      <c r="E16" s="36">
        <f>'[3]SPM tables'!$E$633/1000</f>
        <v>503.68299999999999</v>
      </c>
      <c r="F16" s="26">
        <f t="shared" si="8"/>
        <v>0.12611212514991499</v>
      </c>
      <c r="G16" s="28">
        <f t="shared" si="2"/>
        <v>-52.652000000000044</v>
      </c>
      <c r="H16" s="33">
        <f t="shared" ref="H16:H18" si="9">ROUND((F16-D16)*100,2)</f>
        <v>-1.32</v>
      </c>
      <c r="I16" s="26">
        <f t="shared" si="7"/>
        <v>-9.464081893103983E-2</v>
      </c>
    </row>
    <row r="17" spans="1:9" x14ac:dyDescent="0.3">
      <c r="A17" s="13" t="s">
        <v>3</v>
      </c>
      <c r="B17" s="47"/>
      <c r="C17" s="36">
        <f>'[2]SPM poverty tables'!$F$633/1000</f>
        <v>1472.79</v>
      </c>
      <c r="D17" s="26">
        <f t="shared" si="8"/>
        <v>0.36875708888237901</v>
      </c>
      <c r="E17" s="36">
        <f>'[3]SPM tables'!$F$633/1000</f>
        <v>1424.03</v>
      </c>
      <c r="F17" s="26">
        <f t="shared" si="8"/>
        <v>0.35654856244350802</v>
      </c>
      <c r="G17" s="28">
        <f t="shared" si="2"/>
        <v>-48.759999999999991</v>
      </c>
      <c r="H17" s="33">
        <f t="shared" si="9"/>
        <v>-1.22</v>
      </c>
      <c r="I17" s="26">
        <f t="shared" si="7"/>
        <v>-3.3107231852470477E-2</v>
      </c>
    </row>
    <row r="18" spans="1:9" x14ac:dyDescent="0.3">
      <c r="A18" s="13" t="s">
        <v>4</v>
      </c>
      <c r="B18" s="47"/>
      <c r="C18" s="36">
        <f>'[2]SPM poverty tables'!$G$633/1000</f>
        <v>2095.7800000000002</v>
      </c>
      <c r="D18" s="26">
        <f t="shared" si="8"/>
        <v>0.52474129491503363</v>
      </c>
      <c r="E18" s="36">
        <f>'[3]SPM tables'!$G$633/1000</f>
        <v>2074.6999999999998</v>
      </c>
      <c r="F18" s="26">
        <f t="shared" si="8"/>
        <v>0.51946328553580057</v>
      </c>
      <c r="G18" s="28">
        <f t="shared" si="2"/>
        <v>-21.080000000000382</v>
      </c>
      <c r="H18" s="33">
        <f t="shared" si="9"/>
        <v>-0.53</v>
      </c>
      <c r="I18" s="26">
        <f t="shared" si="7"/>
        <v>-1.0058307646795168E-2</v>
      </c>
    </row>
    <row r="19" spans="1:9" x14ac:dyDescent="0.3">
      <c r="A19" s="5" t="s">
        <v>64</v>
      </c>
      <c r="B19" s="47">
        <f>SUM('[1]ATTIS Summary Tables'!$J$857:$J$858)/1000</f>
        <v>1108.269</v>
      </c>
      <c r="C19" s="36"/>
      <c r="D19" s="26"/>
      <c r="E19" s="36"/>
      <c r="F19" s="26"/>
      <c r="G19" s="28"/>
      <c r="H19" s="45"/>
      <c r="I19" s="26"/>
    </row>
    <row r="20" spans="1:9" x14ac:dyDescent="0.3">
      <c r="A20" s="13" t="s">
        <v>1</v>
      </c>
      <c r="B20" s="47"/>
      <c r="C20" s="36">
        <f>SUM('[2]SPM poverty tables'!$D$857:$D$858)/1000</f>
        <v>25.547999999999998</v>
      </c>
      <c r="D20" s="26">
        <f>C20/$B$19</f>
        <v>2.3052165133194195E-2</v>
      </c>
      <c r="E20" s="36">
        <f>SUM('[3]SPM tables'!$D$857:$D$858)/1000</f>
        <v>22.193999999999999</v>
      </c>
      <c r="F20" s="26">
        <f>E20/$B$19</f>
        <v>2.0025824055351183E-2</v>
      </c>
      <c r="G20" s="28">
        <f t="shared" si="2"/>
        <v>-3.3539999999999992</v>
      </c>
      <c r="H20" s="33">
        <f>ROUND((F20-D20)*100,2)</f>
        <v>-0.3</v>
      </c>
      <c r="I20" s="26">
        <f t="shared" ref="I20:I23" si="10">(E20-C20)/C20</f>
        <v>-0.13128229215594173</v>
      </c>
    </row>
    <row r="21" spans="1:9" x14ac:dyDescent="0.3">
      <c r="A21" s="13" t="s">
        <v>2</v>
      </c>
      <c r="B21" s="47"/>
      <c r="C21" s="36">
        <f>SUM('[2]SPM poverty tables'!$E$857:$E$858)/1000</f>
        <v>168.679</v>
      </c>
      <c r="D21" s="26">
        <f t="shared" ref="D21:F23" si="11">C21/$B$19</f>
        <v>0.15220041343753185</v>
      </c>
      <c r="E21" s="36">
        <f>SUM('[3]SPM tables'!$E$857:$E$858)/1000</f>
        <v>147.31</v>
      </c>
      <c r="F21" s="26">
        <f t="shared" si="11"/>
        <v>0.13291899349345693</v>
      </c>
      <c r="G21" s="28">
        <f t="shared" si="2"/>
        <v>-21.369</v>
      </c>
      <c r="H21" s="33">
        <f t="shared" ref="H21:H23" si="12">ROUND((F21-D21)*100,2)</f>
        <v>-1.93</v>
      </c>
      <c r="I21" s="26">
        <f t="shared" si="10"/>
        <v>-0.12668441240462652</v>
      </c>
    </row>
    <row r="22" spans="1:9" x14ac:dyDescent="0.3">
      <c r="A22" s="13" t="s">
        <v>3</v>
      </c>
      <c r="B22" s="47"/>
      <c r="C22" s="36">
        <f>SUM('[2]SPM poverty tables'!$F$857:$F$858)/1000</f>
        <v>434.59199999999998</v>
      </c>
      <c r="D22" s="26">
        <f t="shared" si="11"/>
        <v>0.39213584427607373</v>
      </c>
      <c r="E22" s="36">
        <f>SUM('[3]SPM tables'!$F$857:$F$858)/1000</f>
        <v>415.20800000000003</v>
      </c>
      <c r="F22" s="26">
        <f t="shared" si="11"/>
        <v>0.37464550573913014</v>
      </c>
      <c r="G22" s="28">
        <f t="shared" si="2"/>
        <v>-19.383999999999958</v>
      </c>
      <c r="H22" s="33">
        <f t="shared" si="12"/>
        <v>-1.75</v>
      </c>
      <c r="I22" s="26">
        <f t="shared" si="10"/>
        <v>-4.4602753847286555E-2</v>
      </c>
    </row>
    <row r="23" spans="1:9" x14ac:dyDescent="0.3">
      <c r="A23" s="13" t="s">
        <v>4</v>
      </c>
      <c r="B23" s="47"/>
      <c r="C23" s="36">
        <f>SUM('[2]SPM poverty tables'!$G$857:$G$858)/1000</f>
        <v>606.17700000000002</v>
      </c>
      <c r="D23" s="26">
        <f t="shared" si="11"/>
        <v>0.54695836480132531</v>
      </c>
      <c r="E23" s="36">
        <f>SUM('[3]SPM tables'!$G$857:$G$858)/1000</f>
        <v>596.74300000000005</v>
      </c>
      <c r="F23" s="26">
        <f t="shared" si="11"/>
        <v>0.53844599100037993</v>
      </c>
      <c r="G23" s="28">
        <f t="shared" si="2"/>
        <v>-9.4339999999999691</v>
      </c>
      <c r="H23" s="33">
        <f t="shared" si="12"/>
        <v>-0.85</v>
      </c>
      <c r="I23" s="26">
        <f t="shared" si="10"/>
        <v>-1.5563111104512327E-2</v>
      </c>
    </row>
    <row r="24" spans="1:9" x14ac:dyDescent="0.3">
      <c r="A24" s="5" t="s">
        <v>18</v>
      </c>
      <c r="B24" s="47">
        <f>SUM('[1]ATTIS Summary Tables'!$J$634:$J$637)/1000</f>
        <v>14885.93</v>
      </c>
      <c r="C24" s="36"/>
      <c r="D24" s="26"/>
      <c r="E24" s="36"/>
      <c r="F24" s="26"/>
      <c r="G24" s="28"/>
      <c r="H24" s="45"/>
      <c r="I24" s="26"/>
    </row>
    <row r="25" spans="1:9" x14ac:dyDescent="0.3">
      <c r="A25" s="13" t="s">
        <v>1</v>
      </c>
      <c r="B25" s="47"/>
      <c r="C25" s="36">
        <f>SUM('[2]SPM poverty tables'!$D$634:$D$637)/1000</f>
        <v>579.43100000000004</v>
      </c>
      <c r="D25" s="26">
        <f>C25/$B$24</f>
        <v>3.8924743029155724E-2</v>
      </c>
      <c r="E25" s="36">
        <f>SUM('[3]SPM tables'!$D$634:$D$637)/1000</f>
        <v>572.24599999999998</v>
      </c>
      <c r="F25" s="26">
        <f>E25/$B$24</f>
        <v>3.8442072480523552E-2</v>
      </c>
      <c r="G25" s="28">
        <f t="shared" si="2"/>
        <v>-7.1850000000000591</v>
      </c>
      <c r="H25" s="33">
        <f>ROUND((F25-D25)*100,2)</f>
        <v>-0.05</v>
      </c>
      <c r="I25" s="26">
        <f t="shared" ref="I25:I27" si="13">(E25-C25)/C25</f>
        <v>-1.2400095956205413E-2</v>
      </c>
    </row>
    <row r="26" spans="1:9" x14ac:dyDescent="0.3">
      <c r="A26" s="13" t="s">
        <v>2</v>
      </c>
      <c r="B26" s="47"/>
      <c r="C26" s="36">
        <f>SUM('[2]SPM poverty tables'!$E$634:$E$637)/1000</f>
        <v>2000.4680000000001</v>
      </c>
      <c r="D26" s="26">
        <f t="shared" ref="D26:F28" si="14">C26/$B$24</f>
        <v>0.13438649785401383</v>
      </c>
      <c r="E26" s="36">
        <f>SUM('[3]SPM tables'!$E$634:$E$637)/1000</f>
        <v>1956.075</v>
      </c>
      <c r="F26" s="26">
        <f t="shared" si="14"/>
        <v>0.13140428579201971</v>
      </c>
      <c r="G26" s="28">
        <f t="shared" si="2"/>
        <v>-44.393000000000029</v>
      </c>
      <c r="H26" s="33">
        <f t="shared" ref="H26:H28" si="15">ROUND((F26-D26)*100,2)</f>
        <v>-0.3</v>
      </c>
      <c r="I26" s="26">
        <f t="shared" si="13"/>
        <v>-2.2191307234107234E-2</v>
      </c>
    </row>
    <row r="27" spans="1:9" x14ac:dyDescent="0.3">
      <c r="A27" s="13" t="s">
        <v>3</v>
      </c>
      <c r="B27" s="47"/>
      <c r="C27" s="36">
        <f>SUM('[2]SPM poverty tables'!$F$634:$F$637)/1000</f>
        <v>4349.9260000000004</v>
      </c>
      <c r="D27" s="26">
        <f t="shared" si="14"/>
        <v>0.29221728168814448</v>
      </c>
      <c r="E27" s="36">
        <f>SUM('[3]SPM tables'!$F$634:$F$637)/1000</f>
        <v>4309.0709999999999</v>
      </c>
      <c r="F27" s="26">
        <f t="shared" si="14"/>
        <v>0.28947274372511489</v>
      </c>
      <c r="G27" s="28">
        <f t="shared" si="2"/>
        <v>-40.855000000000473</v>
      </c>
      <c r="H27" s="33">
        <f t="shared" si="15"/>
        <v>-0.27</v>
      </c>
      <c r="I27" s="26">
        <f t="shared" si="13"/>
        <v>-9.3921137968784908E-3</v>
      </c>
    </row>
    <row r="28" spans="1:9" x14ac:dyDescent="0.3">
      <c r="A28" s="13" t="s">
        <v>4</v>
      </c>
      <c r="B28" s="47"/>
      <c r="C28" s="36">
        <f>SUM('[2]SPM poverty tables'!$G$634:$G$637)/1000</f>
        <v>6175.6729999999998</v>
      </c>
      <c r="D28" s="26">
        <f t="shared" si="14"/>
        <v>0.41486645443045883</v>
      </c>
      <c r="E28" s="36">
        <f>SUM('[3]SPM tables'!$G$634:$G$637)/1000</f>
        <v>6155.625</v>
      </c>
      <c r="F28" s="26">
        <f t="shared" si="14"/>
        <v>0.4135196793213457</v>
      </c>
      <c r="G28" s="28">
        <f t="shared" si="2"/>
        <v>-20.047999999999774</v>
      </c>
      <c r="H28" s="33">
        <f t="shared" si="15"/>
        <v>-0.13</v>
      </c>
      <c r="I28" s="26">
        <f>(E28-C28)/C28</f>
        <v>-3.2462858703820258E-3</v>
      </c>
    </row>
    <row r="29" spans="1:9" x14ac:dyDescent="0.3">
      <c r="A29" s="12" t="s">
        <v>26</v>
      </c>
      <c r="B29" s="46"/>
      <c r="C29" s="34"/>
      <c r="D29" s="26"/>
      <c r="E29" s="34"/>
      <c r="F29" s="26"/>
      <c r="G29" s="28"/>
      <c r="H29" s="35"/>
      <c r="I29" s="26"/>
    </row>
    <row r="30" spans="1:9" x14ac:dyDescent="0.3">
      <c r="A30" s="5" t="s">
        <v>6</v>
      </c>
      <c r="B30" s="47">
        <f>('[1]ATTIS Summary Tables'!$J$1033+'[1]ATTIS Summary Tables'!$J$1259)/1000</f>
        <v>10206.14</v>
      </c>
      <c r="C30" s="36"/>
      <c r="D30" s="26"/>
      <c r="E30" s="36"/>
      <c r="F30" s="26"/>
      <c r="G30" s="28"/>
      <c r="H30" s="33"/>
      <c r="I30" s="26"/>
    </row>
    <row r="31" spans="1:9" x14ac:dyDescent="0.3">
      <c r="A31" s="13" t="s">
        <v>1</v>
      </c>
      <c r="B31" s="47"/>
      <c r="C31" s="36">
        <f>('[2]SPM poverty tables'!$D$1033+'[2]SPM poverty tables'!$D$1259)/1000</f>
        <v>492.07299999999998</v>
      </c>
      <c r="D31" s="26">
        <f>C31/$B$30</f>
        <v>4.8213428387225726E-2</v>
      </c>
      <c r="E31" s="36">
        <f>('[3]SPM tables'!$D$1033+'[3]SPM tables'!$D$1259)/1000</f>
        <v>490.62900000000002</v>
      </c>
      <c r="F31" s="26">
        <f>E31/$B$30</f>
        <v>4.8071944927269274E-2</v>
      </c>
      <c r="G31" s="28">
        <f t="shared" si="2"/>
        <v>-1.44399999999996</v>
      </c>
      <c r="H31" s="33">
        <f t="shared" ref="H31:H34" si="16">ROUND((F31-D31)*100,2)</f>
        <v>-0.01</v>
      </c>
      <c r="I31" s="26">
        <f t="shared" ref="I31:I34" si="17">(E31-C31)/C31</f>
        <v>-2.9345239425856732E-3</v>
      </c>
    </row>
    <row r="32" spans="1:9" x14ac:dyDescent="0.3">
      <c r="A32" s="13" t="s">
        <v>2</v>
      </c>
      <c r="B32" s="47"/>
      <c r="C32" s="36">
        <f>('[2]SPM poverty tables'!$E$1033+'[2]SPM poverty tables'!$E$1259)/1000</f>
        <v>1437.4760000000001</v>
      </c>
      <c r="D32" s="26">
        <f t="shared" ref="D32:F34" si="18">C32/$B$30</f>
        <v>0.14084423690053244</v>
      </c>
      <c r="E32" s="36">
        <f>('[3]SPM tables'!$E$1033+'[3]SPM tables'!$E$1259)/1000</f>
        <v>1437.1559999999999</v>
      </c>
      <c r="F32" s="26">
        <f t="shared" si="18"/>
        <v>0.14081288322519581</v>
      </c>
      <c r="G32" s="28">
        <f t="shared" si="2"/>
        <v>-0.32000000000016371</v>
      </c>
      <c r="H32" s="33">
        <f t="shared" si="16"/>
        <v>0</v>
      </c>
      <c r="I32" s="26">
        <f t="shared" si="17"/>
        <v>-2.2261241231169332E-4</v>
      </c>
    </row>
    <row r="33" spans="1:10" x14ac:dyDescent="0.3">
      <c r="A33" s="13" t="s">
        <v>3</v>
      </c>
      <c r="B33" s="47"/>
      <c r="C33" s="36">
        <f>('[2]SPM poverty tables'!$F$1033+'[2]SPM poverty tables'!$F$1259)/1000</f>
        <v>2834.0740000000001</v>
      </c>
      <c r="D33" s="26">
        <f t="shared" si="18"/>
        <v>0.27768323773728365</v>
      </c>
      <c r="E33" s="36">
        <f>('[3]SPM tables'!$F$1033+'[3]SPM tables'!$F$1259)/1000</f>
        <v>2834.0740000000001</v>
      </c>
      <c r="F33" s="26">
        <f t="shared" si="18"/>
        <v>0.27768323773728365</v>
      </c>
      <c r="G33" s="28">
        <f t="shared" si="2"/>
        <v>0</v>
      </c>
      <c r="H33" s="33">
        <f t="shared" si="16"/>
        <v>0</v>
      </c>
      <c r="I33" s="26">
        <f t="shared" si="17"/>
        <v>0</v>
      </c>
    </row>
    <row r="34" spans="1:10" x14ac:dyDescent="0.3">
      <c r="A34" s="13" t="s">
        <v>4</v>
      </c>
      <c r="B34" s="47"/>
      <c r="C34" s="36">
        <f>('[2]SPM poverty tables'!$G$1033+'[2]SPM poverty tables'!$G$1259)/1000</f>
        <v>3935.57</v>
      </c>
      <c r="D34" s="26">
        <f t="shared" si="18"/>
        <v>0.38560807513908296</v>
      </c>
      <c r="E34" s="36">
        <f>('[3]SPM tables'!$G$1033+'[3]SPM tables'!$G$1259)/1000</f>
        <v>3935.43</v>
      </c>
      <c r="F34" s="26">
        <f t="shared" si="18"/>
        <v>0.38559435790612318</v>
      </c>
      <c r="G34" s="28">
        <f t="shared" si="2"/>
        <v>-0.14000000000032742</v>
      </c>
      <c r="H34" s="33">
        <f t="shared" si="16"/>
        <v>0</v>
      </c>
      <c r="I34" s="26">
        <f t="shared" si="17"/>
        <v>-3.5572991968209794E-5</v>
      </c>
    </row>
    <row r="35" spans="1:10" x14ac:dyDescent="0.3">
      <c r="A35" s="12" t="s">
        <v>27</v>
      </c>
      <c r="B35" s="47"/>
      <c r="C35" s="34"/>
      <c r="D35" s="26"/>
      <c r="E35" s="36"/>
      <c r="F35" s="26"/>
      <c r="G35" s="28"/>
      <c r="H35" s="35"/>
      <c r="I35" s="26"/>
    </row>
    <row r="36" spans="1:10" x14ac:dyDescent="0.3">
      <c r="A36" s="5" t="s">
        <v>29</v>
      </c>
      <c r="B36" s="47">
        <f>'[1]ATTIS Summary Tables'!$H$2024/1000</f>
        <v>8135.46</v>
      </c>
      <c r="C36" s="36"/>
      <c r="D36" s="26"/>
      <c r="E36" s="36"/>
      <c r="F36" s="26"/>
      <c r="G36" s="28"/>
      <c r="H36" s="33"/>
      <c r="I36" s="26"/>
    </row>
    <row r="37" spans="1:10" x14ac:dyDescent="0.3">
      <c r="A37" s="13" t="s">
        <v>1</v>
      </c>
      <c r="B37" s="47"/>
      <c r="C37" s="36">
        <f>'[2]SPM poverty tables'!$C$2024/1000</f>
        <v>352.02100000000002</v>
      </c>
      <c r="D37" s="26">
        <f>C37/$B$36</f>
        <v>4.3269956462203739E-2</v>
      </c>
      <c r="E37" s="36">
        <f>'[3]SPM tables'!$C$2024/1000</f>
        <v>343.00599999999997</v>
      </c>
      <c r="F37" s="26">
        <f>E37/$B$36</f>
        <v>4.2161844566871443E-2</v>
      </c>
      <c r="G37" s="28">
        <f t="shared" si="2"/>
        <v>-9.0150000000000432</v>
      </c>
      <c r="H37" s="33">
        <f t="shared" ref="H37:H40" si="19">ROUND((F37-D37)*100,2)</f>
        <v>-0.11</v>
      </c>
      <c r="I37" s="26">
        <f t="shared" ref="I37:I40" si="20">(E37-C37)/C37</f>
        <v>-2.5609267628919987E-2</v>
      </c>
      <c r="J37" s="19"/>
    </row>
    <row r="38" spans="1:10" x14ac:dyDescent="0.3">
      <c r="A38" s="13" t="s">
        <v>2</v>
      </c>
      <c r="B38" s="47"/>
      <c r="C38" s="36">
        <f>'[2]SPM poverty tables'!$D$2024/1000</f>
        <v>1517.62</v>
      </c>
      <c r="D38" s="26">
        <f t="shared" ref="D38:F40" si="21">C38/$B$36</f>
        <v>0.18654384632215018</v>
      </c>
      <c r="E38" s="36">
        <f>'[3]SPM tables'!$D$2024/1000</f>
        <v>1447.05</v>
      </c>
      <c r="F38" s="26">
        <f t="shared" si="21"/>
        <v>0.17786947511265497</v>
      </c>
      <c r="G38" s="28">
        <f t="shared" si="2"/>
        <v>-70.569999999999936</v>
      </c>
      <c r="H38" s="33">
        <f t="shared" si="19"/>
        <v>-0.87</v>
      </c>
      <c r="I38" s="26">
        <f t="shared" si="20"/>
        <v>-4.6500441480739542E-2</v>
      </c>
      <c r="J38" s="19"/>
    </row>
    <row r="39" spans="1:10" x14ac:dyDescent="0.3">
      <c r="A39" s="13" t="s">
        <v>3</v>
      </c>
      <c r="B39" s="47"/>
      <c r="C39" s="36">
        <f>'[2]SPM poverty tables'!$E$2024/1000</f>
        <v>3401.82</v>
      </c>
      <c r="D39" s="26">
        <f t="shared" si="21"/>
        <v>0.41814722216076289</v>
      </c>
      <c r="E39" s="36">
        <f>'[3]SPM tables'!$E$2024/1000</f>
        <v>3356.55</v>
      </c>
      <c r="F39" s="26">
        <f t="shared" si="21"/>
        <v>0.41258269354160676</v>
      </c>
      <c r="G39" s="28">
        <f t="shared" si="2"/>
        <v>-45.269999999999982</v>
      </c>
      <c r="H39" s="33">
        <f t="shared" si="19"/>
        <v>-0.56000000000000005</v>
      </c>
      <c r="I39" s="26">
        <f t="shared" si="20"/>
        <v>-1.3307582411767813E-2</v>
      </c>
      <c r="J39" s="19"/>
    </row>
    <row r="40" spans="1:10" x14ac:dyDescent="0.3">
      <c r="A40" s="13" t="s">
        <v>4</v>
      </c>
      <c r="B40" s="47"/>
      <c r="C40" s="36">
        <f>'[2]SPM poverty tables'!$F$2024/1000</f>
        <v>4493.12</v>
      </c>
      <c r="D40" s="26">
        <f t="shared" si="21"/>
        <v>0.5522883770555076</v>
      </c>
      <c r="E40" s="36">
        <f>'[3]SPM tables'!$F$2024/1000</f>
        <v>4483.1000000000004</v>
      </c>
      <c r="F40" s="26">
        <f t="shared" si="21"/>
        <v>0.55105673188731807</v>
      </c>
      <c r="G40" s="28">
        <f t="shared" si="2"/>
        <v>-10.019999999999527</v>
      </c>
      <c r="H40" s="33">
        <f t="shared" si="19"/>
        <v>-0.12</v>
      </c>
      <c r="I40" s="26">
        <f t="shared" si="20"/>
        <v>-2.2300762053983707E-3</v>
      </c>
      <c r="J40" s="19"/>
    </row>
    <row r="41" spans="1:10" x14ac:dyDescent="0.3">
      <c r="A41" s="5" t="s">
        <v>28</v>
      </c>
      <c r="B41" s="47">
        <f>('[1]ATTIS Summary Tables'!$H$2044-'[1]ATTIS Summary Tables'!$H$2024)/1000</f>
        <v>10744.44</v>
      </c>
      <c r="C41" s="36"/>
      <c r="D41" s="26"/>
      <c r="E41" s="36"/>
      <c r="F41" s="26"/>
      <c r="G41" s="28"/>
      <c r="H41" s="45"/>
      <c r="I41" s="26"/>
    </row>
    <row r="42" spans="1:10" x14ac:dyDescent="0.3">
      <c r="A42" s="13" t="s">
        <v>1</v>
      </c>
      <c r="B42" s="47"/>
      <c r="C42" s="36">
        <f>('[2]SPM poverty tables'!$C$2044-'[2]SPM poverty tables'!$C$2024)/1000</f>
        <v>315.53199999999998</v>
      </c>
      <c r="D42" s="37">
        <f>C42/$B$41</f>
        <v>2.9367002840538916E-2</v>
      </c>
      <c r="E42" s="36">
        <f>('[3]SPM tables'!$C$2044-'[3]SPM tables'!$C$2024)/1000</f>
        <v>311.2</v>
      </c>
      <c r="F42" s="32">
        <f>E42/$B$41</f>
        <v>2.8963817565177893E-2</v>
      </c>
      <c r="G42" s="28">
        <f t="shared" si="2"/>
        <v>-4.3319999999999936</v>
      </c>
      <c r="H42" s="38">
        <f t="shared" ref="H42:H45" si="22">ROUND((F42-D42)*100,2)</f>
        <v>-0.04</v>
      </c>
      <c r="I42" s="26">
        <f t="shared" ref="I42:I45" si="23">(E42-C42)/C42</f>
        <v>-1.3729193869401499E-2</v>
      </c>
    </row>
    <row r="43" spans="1:10" x14ac:dyDescent="0.3">
      <c r="A43" s="13" t="s">
        <v>2</v>
      </c>
      <c r="B43" s="47"/>
      <c r="C43" s="36">
        <f>('[2]SPM poverty tables'!$D$2044-'[2]SPM poverty tables'!$D$2024)/1000</f>
        <v>1039.18</v>
      </c>
      <c r="D43" s="37">
        <f t="shared" ref="D43:F45" si="24">C43/$B$41</f>
        <v>9.6717930390043602E-2</v>
      </c>
      <c r="E43" s="36">
        <f>('[3]SPM tables'!$D$2044-'[3]SPM tables'!$D$2024)/1000</f>
        <v>1012.71</v>
      </c>
      <c r="F43" s="32">
        <f t="shared" si="24"/>
        <v>9.4254330611925799E-2</v>
      </c>
      <c r="G43" s="28">
        <f t="shared" si="2"/>
        <v>-26.470000000000027</v>
      </c>
      <c r="H43" s="38">
        <f>ROUND((F43-D43)*100,2)</f>
        <v>-0.25</v>
      </c>
      <c r="I43" s="26">
        <f t="shared" si="23"/>
        <v>-2.5472006774572283E-2</v>
      </c>
    </row>
    <row r="44" spans="1:10" x14ac:dyDescent="0.3">
      <c r="A44" s="13" t="s">
        <v>3</v>
      </c>
      <c r="B44" s="47"/>
      <c r="C44" s="36">
        <f>('[2]SPM poverty tables'!$E$2044-'[2]SPM poverty tables'!$E$2024)/1000</f>
        <v>2420.9</v>
      </c>
      <c r="D44" s="37">
        <f t="shared" si="24"/>
        <v>0.22531653580828781</v>
      </c>
      <c r="E44" s="36">
        <f>('[3]SPM tables'!$E$2044-'[3]SPM tables'!$E$2024)/1000</f>
        <v>2376.5500000000002</v>
      </c>
      <c r="F44" s="32">
        <f t="shared" si="24"/>
        <v>0.22118881951967717</v>
      </c>
      <c r="G44" s="28">
        <f t="shared" si="2"/>
        <v>-44.349999999999909</v>
      </c>
      <c r="H44" s="38">
        <f t="shared" si="22"/>
        <v>-0.41</v>
      </c>
      <c r="I44" s="26">
        <f t="shared" si="23"/>
        <v>-1.8319633194266556E-2</v>
      </c>
    </row>
    <row r="45" spans="1:10" ht="13.5" thickBot="1" x14ac:dyDescent="0.35">
      <c r="A45" s="16" t="s">
        <v>4</v>
      </c>
      <c r="B45" s="48"/>
      <c r="C45" s="36">
        <f>('[2]SPM poverty tables'!$F$2044-'[2]SPM poverty tables'!$F$2024)/1000</f>
        <v>3778.34</v>
      </c>
      <c r="D45" s="40">
        <f t="shared" si="24"/>
        <v>0.35165536779953166</v>
      </c>
      <c r="E45" s="39">
        <f>('[3]SPM tables'!$F$2044-'[3]SPM tables'!$F$2024)/1000</f>
        <v>3747.23</v>
      </c>
      <c r="F45" s="41">
        <f t="shared" si="24"/>
        <v>0.3487599167569459</v>
      </c>
      <c r="G45" s="28">
        <f t="shared" si="2"/>
        <v>-31.110000000000127</v>
      </c>
      <c r="H45" s="43">
        <f t="shared" si="22"/>
        <v>-0.28999999999999998</v>
      </c>
      <c r="I45" s="26">
        <f t="shared" si="23"/>
        <v>-8.2337746206006153E-3</v>
      </c>
    </row>
    <row r="46" spans="1:10" ht="14.25" customHeight="1" x14ac:dyDescent="0.3">
      <c r="A46" s="76" t="s">
        <v>86</v>
      </c>
      <c r="B46" s="76"/>
      <c r="C46" s="76"/>
      <c r="D46" s="76"/>
      <c r="E46" s="76"/>
      <c r="F46" s="76"/>
      <c r="G46" s="76"/>
      <c r="H46" s="76"/>
      <c r="I46" s="76"/>
    </row>
    <row r="47" spans="1:10" ht="28.5" customHeight="1" x14ac:dyDescent="0.3">
      <c r="A47" s="77" t="s">
        <v>92</v>
      </c>
      <c r="B47" s="77"/>
      <c r="C47" s="77"/>
      <c r="D47" s="77"/>
      <c r="E47" s="77"/>
      <c r="F47" s="77"/>
      <c r="G47" s="77"/>
      <c r="H47" s="77"/>
      <c r="I47" s="77"/>
    </row>
    <row r="48" spans="1:10" x14ac:dyDescent="0.3">
      <c r="C48" s="28"/>
    </row>
    <row r="49" spans="3:3" x14ac:dyDescent="0.3">
      <c r="C49" s="28"/>
    </row>
    <row r="50" spans="3:3" x14ac:dyDescent="0.3">
      <c r="C50" s="28"/>
    </row>
    <row r="51" spans="3:3" x14ac:dyDescent="0.3">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heetViews>
  <sheetFormatPr defaultColWidth="9.1796875" defaultRowHeight="13" x14ac:dyDescent="0.3"/>
  <cols>
    <col min="1" max="1" width="52.4531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79</v>
      </c>
      <c r="B1" s="25"/>
    </row>
    <row r="2" spans="1:9" x14ac:dyDescent="0.3">
      <c r="A2" s="6" t="s">
        <v>138</v>
      </c>
      <c r="B2" s="25"/>
    </row>
    <row r="3" spans="1:9" x14ac:dyDescent="0.3">
      <c r="A3" s="71" t="s">
        <v>145</v>
      </c>
      <c r="B3" s="25"/>
    </row>
    <row r="4" spans="1:9" x14ac:dyDescent="0.3">
      <c r="A4" s="1" t="s">
        <v>112</v>
      </c>
      <c r="E4" s="72"/>
      <c r="F4" s="72"/>
      <c r="G4" s="72"/>
    </row>
    <row r="5" spans="1:9" ht="28.5" customHeight="1" thickBot="1" x14ac:dyDescent="0.35">
      <c r="E5" s="73" t="s">
        <v>136</v>
      </c>
      <c r="F5" s="73"/>
      <c r="G5" s="73"/>
      <c r="H5" s="73"/>
      <c r="I5" s="73"/>
    </row>
    <row r="6" spans="1:9" ht="59"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26"/>
      <c r="G7" s="28"/>
      <c r="H7" s="45"/>
      <c r="I7" s="26"/>
    </row>
    <row r="8" spans="1:9" ht="14.5" x14ac:dyDescent="0.3">
      <c r="A8" s="12" t="s">
        <v>66</v>
      </c>
      <c r="B8" s="46"/>
      <c r="C8" s="34"/>
      <c r="D8" s="26"/>
      <c r="E8" s="34"/>
      <c r="F8" s="26"/>
      <c r="G8" s="28"/>
      <c r="H8" s="35"/>
      <c r="I8" s="26"/>
    </row>
    <row r="9" spans="1:9" x14ac:dyDescent="0.3">
      <c r="A9" s="5" t="s">
        <v>23</v>
      </c>
      <c r="B9" s="47">
        <f>'[1]ATTIS Summary Tables'!$J$619/1000</f>
        <v>1627.8</v>
      </c>
      <c r="C9" s="36"/>
      <c r="D9" s="26"/>
      <c r="E9" s="36"/>
      <c r="F9" s="26"/>
      <c r="G9" s="28"/>
      <c r="H9" s="45"/>
      <c r="I9" s="26"/>
    </row>
    <row r="10" spans="1:9" x14ac:dyDescent="0.3">
      <c r="A10" s="13" t="s">
        <v>1</v>
      </c>
      <c r="B10" s="47"/>
      <c r="C10" s="36">
        <f>'[2]SPM poverty tables'!$D$619/1000</f>
        <v>96.164000000000001</v>
      </c>
      <c r="D10" s="26">
        <f>C10/$B$9</f>
        <v>5.9076053569234552E-2</v>
      </c>
      <c r="E10" s="36">
        <f>'[3]SPM tables'!$D$619/1000</f>
        <v>95.153999999999996</v>
      </c>
      <c r="F10" s="26">
        <f>E10/$B$9</f>
        <v>5.8455584224106155E-2</v>
      </c>
      <c r="G10" s="28">
        <f>E10-C10</f>
        <v>-1.0100000000000051</v>
      </c>
      <c r="H10" s="33">
        <f>ROUND((F10-D10)*100,2)</f>
        <v>-0.06</v>
      </c>
      <c r="I10" s="26">
        <f>(E10-C10)/C10</f>
        <v>-1.050289089472157E-2</v>
      </c>
    </row>
    <row r="11" spans="1:9" x14ac:dyDescent="0.3">
      <c r="A11" s="13" t="s">
        <v>2</v>
      </c>
      <c r="B11" s="47"/>
      <c r="C11" s="36">
        <f>'[2]SPM poverty tables'!$E$619/1000</f>
        <v>344.77100000000002</v>
      </c>
      <c r="D11" s="26">
        <f t="shared" ref="D11:D13" si="0">C11/$B$9</f>
        <v>0.21180181840520951</v>
      </c>
      <c r="E11" s="36">
        <f>'[3]SPM tables'!$E$619/1000</f>
        <v>332.565</v>
      </c>
      <c r="F11" s="26">
        <f t="shared" ref="F11:F13" si="1">E11/$B$9</f>
        <v>0.2043033542204202</v>
      </c>
      <c r="G11" s="28">
        <f t="shared" ref="G11:G60" si="2">E11-C11</f>
        <v>-12.206000000000017</v>
      </c>
      <c r="H11" s="33">
        <f t="shared" ref="H11:H13" si="3">ROUND((F11-D11)*100,2)</f>
        <v>-0.75</v>
      </c>
      <c r="I11" s="26">
        <f t="shared" ref="I11:I13" si="4">(E11-C11)/C11</f>
        <v>-3.5403209666706355E-2</v>
      </c>
    </row>
    <row r="12" spans="1:9" x14ac:dyDescent="0.3">
      <c r="A12" s="13" t="s">
        <v>3</v>
      </c>
      <c r="B12" s="47"/>
      <c r="C12" s="36">
        <f>'[2]SPM poverty tables'!$F$619/1000</f>
        <v>662.86699999999996</v>
      </c>
      <c r="D12" s="26">
        <f t="shared" si="0"/>
        <v>0.40721648851210224</v>
      </c>
      <c r="E12" s="36">
        <f>'[3]SPM tables'!$F$619/1000</f>
        <v>657.899</v>
      </c>
      <c r="F12" s="26">
        <f t="shared" si="1"/>
        <v>0.40416451652537166</v>
      </c>
      <c r="G12" s="28">
        <f t="shared" si="2"/>
        <v>-4.9679999999999609</v>
      </c>
      <c r="H12" s="33">
        <f t="shared" si="3"/>
        <v>-0.31</v>
      </c>
      <c r="I12" s="26">
        <f t="shared" si="4"/>
        <v>-7.494716134609147E-3</v>
      </c>
    </row>
    <row r="13" spans="1:9" x14ac:dyDescent="0.3">
      <c r="A13" s="13" t="s">
        <v>4</v>
      </c>
      <c r="B13" s="47"/>
      <c r="C13" s="36">
        <f>'[2]SPM poverty tables'!$G$619/1000</f>
        <v>860.298</v>
      </c>
      <c r="D13" s="26">
        <f t="shared" si="0"/>
        <v>0.52850350165868043</v>
      </c>
      <c r="E13" s="36">
        <f>'[3]SPM tables'!$G$619/1000</f>
        <v>857.755</v>
      </c>
      <c r="F13" s="26">
        <f t="shared" si="1"/>
        <v>0.52694127042634231</v>
      </c>
      <c r="G13" s="28">
        <f t="shared" ref="G13" si="5">E13-C13</f>
        <v>-2.5430000000000064</v>
      </c>
      <c r="H13" s="33">
        <f t="shared" si="3"/>
        <v>-0.16</v>
      </c>
      <c r="I13" s="26">
        <f t="shared" si="4"/>
        <v>-2.9559524722828677E-3</v>
      </c>
    </row>
    <row r="14" spans="1:9" x14ac:dyDescent="0.3">
      <c r="A14" s="5" t="s">
        <v>22</v>
      </c>
      <c r="B14" s="47">
        <f>'[1]ATTIS Summary Tables'!$J$618/1000</f>
        <v>2625.71</v>
      </c>
      <c r="C14" s="36"/>
      <c r="D14" s="26"/>
      <c r="E14" s="36"/>
      <c r="F14" s="26"/>
      <c r="G14" s="28"/>
      <c r="H14" s="45"/>
      <c r="I14" s="26"/>
    </row>
    <row r="15" spans="1:9" x14ac:dyDescent="0.3">
      <c r="A15" s="13" t="s">
        <v>1</v>
      </c>
      <c r="B15" s="47"/>
      <c r="C15" s="36">
        <f>'[2]SPM poverty tables'!$D$618/1000</f>
        <v>112.482</v>
      </c>
      <c r="D15" s="26">
        <f>C15/$B$14</f>
        <v>4.2838698866211423E-2</v>
      </c>
      <c r="E15" s="36">
        <f>'[3]SPM tables'!$D$618/1000</f>
        <v>109.56699999999999</v>
      </c>
      <c r="F15" s="26">
        <f>E15/$B$14</f>
        <v>4.1728522951887295E-2</v>
      </c>
      <c r="G15" s="28">
        <f t="shared" si="2"/>
        <v>-2.9150000000000063</v>
      </c>
      <c r="H15" s="33">
        <f t="shared" ref="H15:H18" si="6">ROUND((F15-D15)*100,2)</f>
        <v>-0.11</v>
      </c>
      <c r="I15" s="26">
        <f t="shared" ref="I15:I18" si="7">(E15-C15)/C15</f>
        <v>-2.5915257552319538E-2</v>
      </c>
    </row>
    <row r="16" spans="1:9" x14ac:dyDescent="0.3">
      <c r="A16" s="13" t="s">
        <v>2</v>
      </c>
      <c r="B16" s="47"/>
      <c r="C16" s="36">
        <f>'[2]SPM poverty tables'!$E$618/1000</f>
        <v>447.202</v>
      </c>
      <c r="D16" s="26">
        <f t="shared" ref="D16:D18" si="8">C16/$B$14</f>
        <v>0.17031660008150176</v>
      </c>
      <c r="E16" s="36">
        <f>'[3]SPM tables'!$E$618/1000</f>
        <v>429.38</v>
      </c>
      <c r="F16" s="26">
        <f t="shared" ref="F16:F18" si="9">E16/$B$14</f>
        <v>0.16352910260462883</v>
      </c>
      <c r="G16" s="28">
        <f t="shared" si="2"/>
        <v>-17.822000000000003</v>
      </c>
      <c r="H16" s="33">
        <f t="shared" si="6"/>
        <v>-0.68</v>
      </c>
      <c r="I16" s="26">
        <f t="shared" si="7"/>
        <v>-3.9852236796794296E-2</v>
      </c>
    </row>
    <row r="17" spans="1:9" x14ac:dyDescent="0.3">
      <c r="A17" s="13" t="s">
        <v>3</v>
      </c>
      <c r="B17" s="47"/>
      <c r="C17" s="36">
        <f>'[2]SPM poverty tables'!$F$618/1000</f>
        <v>1130.75</v>
      </c>
      <c r="D17" s="26">
        <f t="shared" si="8"/>
        <v>0.43064542542778905</v>
      </c>
      <c r="E17" s="36">
        <f>'[3]SPM tables'!$F$618/1000</f>
        <v>1107.1300000000001</v>
      </c>
      <c r="F17" s="26">
        <f t="shared" si="9"/>
        <v>0.4216497633021164</v>
      </c>
      <c r="G17" s="28">
        <f t="shared" si="2"/>
        <v>-23.619999999999891</v>
      </c>
      <c r="H17" s="33">
        <f t="shared" si="6"/>
        <v>-0.9</v>
      </c>
      <c r="I17" s="26">
        <f t="shared" si="7"/>
        <v>-2.0888790625690816E-2</v>
      </c>
    </row>
    <row r="18" spans="1:9" x14ac:dyDescent="0.3">
      <c r="A18" s="13" t="s">
        <v>4</v>
      </c>
      <c r="B18" s="47"/>
      <c r="C18" s="36">
        <f>'[2]SPM poverty tables'!$G$618/1000</f>
        <v>1540.47</v>
      </c>
      <c r="D18" s="26">
        <f t="shared" si="8"/>
        <v>0.58668702941299689</v>
      </c>
      <c r="E18" s="36">
        <f>'[3]SPM tables'!$G$618/1000</f>
        <v>1534.45</v>
      </c>
      <c r="F18" s="26">
        <f t="shared" si="9"/>
        <v>0.58439431620399818</v>
      </c>
      <c r="G18" s="28">
        <f t="shared" si="2"/>
        <v>-6.0199999999999818</v>
      </c>
      <c r="H18" s="33">
        <f t="shared" si="6"/>
        <v>-0.23</v>
      </c>
      <c r="I18" s="26">
        <f t="shared" si="7"/>
        <v>-3.9078982388491704E-3</v>
      </c>
    </row>
    <row r="19" spans="1:9" x14ac:dyDescent="0.3">
      <c r="A19" s="5" t="s">
        <v>24</v>
      </c>
      <c r="B19" s="47">
        <f>'[1]ATTIS Summary Tables'!$J$620/1000</f>
        <v>3645.79</v>
      </c>
      <c r="C19" s="36"/>
      <c r="D19" s="26"/>
      <c r="E19" s="36"/>
      <c r="F19" s="26"/>
      <c r="G19" s="28"/>
      <c r="H19" s="45"/>
      <c r="I19" s="26"/>
    </row>
    <row r="20" spans="1:9" x14ac:dyDescent="0.3">
      <c r="A20" s="13" t="s">
        <v>1</v>
      </c>
      <c r="B20" s="47"/>
      <c r="C20" s="36">
        <f>'[2]SPM poverty tables'!$D$620/1000</f>
        <v>148.34899999999999</v>
      </c>
      <c r="D20" s="26">
        <f>C20/$B$19</f>
        <v>4.0690495064169906E-2</v>
      </c>
      <c r="E20" s="36">
        <f>'[3]SPM tables'!$D$620/1000</f>
        <v>144.357</v>
      </c>
      <c r="F20" s="26">
        <f>E20/$B$19</f>
        <v>3.9595533478340772E-2</v>
      </c>
      <c r="G20" s="28">
        <f t="shared" si="2"/>
        <v>-3.9919999999999902</v>
      </c>
      <c r="H20" s="33">
        <f t="shared" ref="H20:H23" si="10">ROUND((F20-D20)*100,2)</f>
        <v>-0.11</v>
      </c>
      <c r="I20" s="26">
        <f t="shared" ref="I20:I23" si="11">(E20-C20)/C20</f>
        <v>-2.6909517421755392E-2</v>
      </c>
    </row>
    <row r="21" spans="1:9" x14ac:dyDescent="0.3">
      <c r="A21" s="13" t="s">
        <v>2</v>
      </c>
      <c r="B21" s="47"/>
      <c r="C21" s="36">
        <f>'[2]SPM poverty tables'!$E$620/1000</f>
        <v>720.529</v>
      </c>
      <c r="D21" s="26">
        <f t="shared" ref="D21:D23" si="12">C21/$B$19</f>
        <v>0.1976331604398498</v>
      </c>
      <c r="E21" s="36">
        <f>'[3]SPM tables'!$E$620/1000</f>
        <v>685.20899999999995</v>
      </c>
      <c r="F21" s="26">
        <f t="shared" ref="F21:F23" si="13">E21/$B$19</f>
        <v>0.18794527386382648</v>
      </c>
      <c r="G21" s="28">
        <f t="shared" si="2"/>
        <v>-35.32000000000005</v>
      </c>
      <c r="H21" s="33">
        <f t="shared" si="10"/>
        <v>-0.97</v>
      </c>
      <c r="I21" s="26">
        <f t="shared" si="11"/>
        <v>-4.9019539810333863E-2</v>
      </c>
    </row>
    <row r="22" spans="1:9" x14ac:dyDescent="0.3">
      <c r="A22" s="13" t="s">
        <v>3</v>
      </c>
      <c r="B22" s="47"/>
      <c r="C22" s="36">
        <f>'[2]SPM poverty tables'!$F$620/1000</f>
        <v>1760.61</v>
      </c>
      <c r="D22" s="26">
        <f t="shared" si="12"/>
        <v>0.48291591122911631</v>
      </c>
      <c r="E22" s="36">
        <f>'[3]SPM tables'!$F$620/1000</f>
        <v>1737.15</v>
      </c>
      <c r="F22" s="26">
        <f t="shared" si="13"/>
        <v>0.47648109188954935</v>
      </c>
      <c r="G22" s="28">
        <f t="shared" si="2"/>
        <v>-23.459999999999809</v>
      </c>
      <c r="H22" s="33">
        <f t="shared" si="10"/>
        <v>-0.64</v>
      </c>
      <c r="I22" s="26">
        <f t="shared" si="11"/>
        <v>-1.3324927155928803E-2</v>
      </c>
    </row>
    <row r="23" spans="1:9" x14ac:dyDescent="0.3">
      <c r="A23" s="13" t="s">
        <v>4</v>
      </c>
      <c r="B23" s="47"/>
      <c r="C23" s="36">
        <f>'[2]SPM poverty tables'!$G$620/1000</f>
        <v>2395.02</v>
      </c>
      <c r="D23" s="26">
        <f t="shared" si="12"/>
        <v>0.65692757948208758</v>
      </c>
      <c r="E23" s="36">
        <f>'[3]SPM tables'!$G$620/1000</f>
        <v>2386.69</v>
      </c>
      <c r="F23" s="26">
        <f t="shared" si="13"/>
        <v>0.65464275232528479</v>
      </c>
      <c r="G23" s="28">
        <f t="shared" si="2"/>
        <v>-8.3299999999999272</v>
      </c>
      <c r="H23" s="33">
        <f t="shared" si="10"/>
        <v>-0.23</v>
      </c>
      <c r="I23" s="26">
        <f t="shared" si="11"/>
        <v>-3.4780502876802393E-3</v>
      </c>
    </row>
    <row r="24" spans="1:9" x14ac:dyDescent="0.3">
      <c r="A24" s="5" t="s">
        <v>25</v>
      </c>
      <c r="B24" s="47">
        <f>'[1]ATTIS Summary Tables'!$J$617/1000</f>
        <v>10430.799999999999</v>
      </c>
      <c r="C24" s="36"/>
      <c r="D24" s="26"/>
      <c r="E24" s="36"/>
      <c r="F24" s="26"/>
      <c r="G24" s="28"/>
      <c r="H24" s="45"/>
      <c r="I24" s="26"/>
    </row>
    <row r="25" spans="1:9" x14ac:dyDescent="0.3">
      <c r="A25" s="13" t="s">
        <v>1</v>
      </c>
      <c r="B25" s="47"/>
      <c r="C25" s="36">
        <f>'[2]SPM poverty tables'!$D$617/1000</f>
        <v>288.40499999999997</v>
      </c>
      <c r="D25" s="26">
        <f>C25/$B$24</f>
        <v>2.7649365341105188E-2</v>
      </c>
      <c r="E25" s="36">
        <f>'[3]SPM tables'!$D$617/1000</f>
        <v>284.601</v>
      </c>
      <c r="F25" s="26">
        <f>E25/$B$24</f>
        <v>2.7284676151397784E-2</v>
      </c>
      <c r="G25" s="28">
        <f t="shared" si="2"/>
        <v>-3.8039999999999736</v>
      </c>
      <c r="H25" s="33">
        <f t="shared" ref="H25:H28" si="14">ROUND((F25-D25)*100,2)</f>
        <v>-0.04</v>
      </c>
      <c r="I25" s="26">
        <f t="shared" ref="I25:I28" si="15">(E25-C25)/C25</f>
        <v>-1.3189785197898698E-2</v>
      </c>
    </row>
    <row r="26" spans="1:9" x14ac:dyDescent="0.3">
      <c r="A26" s="13" t="s">
        <v>2</v>
      </c>
      <c r="B26" s="47"/>
      <c r="C26" s="36">
        <f>'[2]SPM poverty tables'!$E$617/1000</f>
        <v>951.55799999999999</v>
      </c>
      <c r="D26" s="26">
        <f t="shared" ref="D26:D28" si="16">C26/$B$24</f>
        <v>9.1225792844268905E-2</v>
      </c>
      <c r="E26" s="36">
        <f>'[3]SPM tables'!$E$617/1000</f>
        <v>922.22799999999995</v>
      </c>
      <c r="F26" s="26">
        <f t="shared" ref="F26:F28" si="17">E26/$B$24</f>
        <v>8.8413927982513324E-2</v>
      </c>
      <c r="G26" s="28">
        <f t="shared" si="2"/>
        <v>-29.330000000000041</v>
      </c>
      <c r="H26" s="33">
        <f t="shared" si="14"/>
        <v>-0.28000000000000003</v>
      </c>
      <c r="I26" s="26">
        <f t="shared" si="15"/>
        <v>-3.082313427032303E-2</v>
      </c>
    </row>
    <row r="27" spans="1:9" x14ac:dyDescent="0.3">
      <c r="A27" s="13" t="s">
        <v>3</v>
      </c>
      <c r="B27" s="47"/>
      <c r="C27" s="36">
        <f>'[2]SPM poverty tables'!$F$617/1000</f>
        <v>2077.29</v>
      </c>
      <c r="D27" s="26">
        <f t="shared" si="16"/>
        <v>0.19914963377689152</v>
      </c>
      <c r="E27" s="36">
        <f>'[3]SPM tables'!$F$617/1000</f>
        <v>2043.2</v>
      </c>
      <c r="F27" s="26">
        <f t="shared" si="17"/>
        <v>0.19588142807838327</v>
      </c>
      <c r="G27" s="28">
        <f t="shared" si="2"/>
        <v>-34.089999999999918</v>
      </c>
      <c r="H27" s="33">
        <f t="shared" si="14"/>
        <v>-0.33</v>
      </c>
      <c r="I27" s="26">
        <f t="shared" si="15"/>
        <v>-1.6410804461582117E-2</v>
      </c>
    </row>
    <row r="28" spans="1:9" x14ac:dyDescent="0.3">
      <c r="A28" s="13" t="s">
        <v>4</v>
      </c>
      <c r="B28" s="47"/>
      <c r="C28" s="36">
        <f>'[2]SPM poverty tables'!$G$617/1000</f>
        <v>3204.86</v>
      </c>
      <c r="D28" s="26">
        <f t="shared" si="16"/>
        <v>0.30724968362925187</v>
      </c>
      <c r="E28" s="36">
        <f>'[3]SPM tables'!$G$617/1000</f>
        <v>3181.57</v>
      </c>
      <c r="F28" s="26">
        <f t="shared" si="17"/>
        <v>0.30501687310656905</v>
      </c>
      <c r="G28" s="28">
        <f t="shared" si="2"/>
        <v>-23.289999999999964</v>
      </c>
      <c r="H28" s="33">
        <f t="shared" si="14"/>
        <v>-0.22</v>
      </c>
      <c r="I28" s="26">
        <f t="shared" si="15"/>
        <v>-7.2670881099330276E-3</v>
      </c>
    </row>
    <row r="29" spans="1:9" x14ac:dyDescent="0.3">
      <c r="A29" s="5" t="s">
        <v>60</v>
      </c>
      <c r="B29" s="47">
        <f>'[1]ATTIS Summary Tables'!$J$621/1000</f>
        <v>549.71500000000003</v>
      </c>
      <c r="C29" s="36"/>
      <c r="D29" s="26"/>
      <c r="E29" s="36"/>
      <c r="F29" s="26"/>
      <c r="G29" s="28"/>
      <c r="H29" s="45"/>
      <c r="I29" s="26"/>
    </row>
    <row r="30" spans="1:9" x14ac:dyDescent="0.3">
      <c r="A30" s="13" t="s">
        <v>1</v>
      </c>
      <c r="B30" s="47"/>
      <c r="C30" s="36">
        <f>'[2]SPM poverty tables'!$D$621/1000</f>
        <v>22.152999999999999</v>
      </c>
      <c r="D30" s="26">
        <f>C30/$B$29</f>
        <v>4.0299064060467689E-2</v>
      </c>
      <c r="E30" s="36">
        <f>'[3]SPM tables'!$D$621/1000</f>
        <v>20.527000000000001</v>
      </c>
      <c r="F30" s="26">
        <f>E30/$B$29</f>
        <v>3.7341167695987922E-2</v>
      </c>
      <c r="G30" s="28">
        <f t="shared" si="2"/>
        <v>-1.6259999999999977</v>
      </c>
      <c r="H30" s="33">
        <f t="shared" ref="H30:H33" si="18">ROUND((F30-D30)*100,2)</f>
        <v>-0.3</v>
      </c>
      <c r="I30" s="26">
        <f t="shared" ref="I30:I33" si="19">(E30-C30)/C30</f>
        <v>-7.3398636753487012E-2</v>
      </c>
    </row>
    <row r="31" spans="1:9" x14ac:dyDescent="0.3">
      <c r="A31" s="13" t="s">
        <v>2</v>
      </c>
      <c r="B31" s="47"/>
      <c r="C31" s="36">
        <f>'[2]SPM poverty tables'!$E$621/1000</f>
        <v>92.742999999999995</v>
      </c>
      <c r="D31" s="26">
        <f t="shared" ref="D31:D33" si="20">C31/$B$29</f>
        <v>0.16871105936712658</v>
      </c>
      <c r="E31" s="36">
        <f>'[3]SPM tables'!$E$621/1000</f>
        <v>90.376000000000005</v>
      </c>
      <c r="F31" s="26">
        <f t="shared" ref="F31:F33" si="21">E31/$B$29</f>
        <v>0.1644051917811957</v>
      </c>
      <c r="G31" s="28">
        <f t="shared" si="2"/>
        <v>-2.3669999999999902</v>
      </c>
      <c r="H31" s="33">
        <f t="shared" si="18"/>
        <v>-0.43</v>
      </c>
      <c r="I31" s="26">
        <f t="shared" si="19"/>
        <v>-2.5522141832806683E-2</v>
      </c>
    </row>
    <row r="32" spans="1:9" x14ac:dyDescent="0.3">
      <c r="A32" s="13" t="s">
        <v>3</v>
      </c>
      <c r="B32" s="47"/>
      <c r="C32" s="36">
        <f>'[2]SPM poverty tables'!$F$621/1000</f>
        <v>191.20500000000001</v>
      </c>
      <c r="D32" s="26">
        <f t="shared" si="20"/>
        <v>0.34782569149468362</v>
      </c>
      <c r="E32" s="36">
        <f>'[3]SPM tables'!$F$621/1000</f>
        <v>187.71299999999999</v>
      </c>
      <c r="F32" s="26">
        <f t="shared" si="21"/>
        <v>0.34147330889642813</v>
      </c>
      <c r="G32" s="28">
        <f t="shared" si="2"/>
        <v>-3.4920000000000186</v>
      </c>
      <c r="H32" s="33">
        <f t="shared" si="18"/>
        <v>-0.64</v>
      </c>
      <c r="I32" s="26">
        <f t="shared" si="19"/>
        <v>-1.8263120734290518E-2</v>
      </c>
    </row>
    <row r="33" spans="1:9" x14ac:dyDescent="0.3">
      <c r="A33" s="13" t="s">
        <v>4</v>
      </c>
      <c r="B33" s="47"/>
      <c r="C33" s="36">
        <f>'[2]SPM poverty tables'!$G$621/1000</f>
        <v>270.80799999999999</v>
      </c>
      <c r="D33" s="26">
        <f t="shared" si="20"/>
        <v>0.4926334555178592</v>
      </c>
      <c r="E33" s="36">
        <f>'[3]SPM tables'!$G$621/1000</f>
        <v>269.86200000000002</v>
      </c>
      <c r="F33" s="26">
        <f t="shared" si="21"/>
        <v>0.49091256378305126</v>
      </c>
      <c r="G33" s="28">
        <f t="shared" si="2"/>
        <v>-0.94599999999996953</v>
      </c>
      <c r="H33" s="33">
        <f t="shared" si="18"/>
        <v>-0.17</v>
      </c>
      <c r="I33" s="26">
        <f t="shared" si="19"/>
        <v>-3.4932498301378451E-3</v>
      </c>
    </row>
    <row r="34" spans="1:9" ht="27.5" x14ac:dyDescent="0.3">
      <c r="A34" s="15" t="s">
        <v>95</v>
      </c>
      <c r="B34" s="46"/>
      <c r="C34" s="34"/>
      <c r="D34" s="26"/>
      <c r="E34" s="34"/>
      <c r="F34" s="26"/>
      <c r="G34" s="28"/>
      <c r="H34" s="35"/>
      <c r="I34" s="26"/>
    </row>
    <row r="35" spans="1:9" x14ac:dyDescent="0.3">
      <c r="A35" s="5" t="s">
        <v>67</v>
      </c>
      <c r="B35" s="47">
        <f>'[1]ATTIS Summary Tables'!$J$839/1000</f>
        <v>3993.93</v>
      </c>
      <c r="C35" s="36"/>
      <c r="D35" s="26"/>
      <c r="E35" s="36"/>
      <c r="F35" s="26"/>
      <c r="G35" s="28"/>
      <c r="H35" s="45"/>
      <c r="I35" s="26"/>
    </row>
    <row r="36" spans="1:9" x14ac:dyDescent="0.3">
      <c r="A36" s="5" t="s">
        <v>23</v>
      </c>
      <c r="B36" s="47">
        <f>'[1]ATTIS Summary Tables'!$J$843/1000</f>
        <v>302.55700000000002</v>
      </c>
      <c r="C36" s="36"/>
      <c r="D36" s="26"/>
      <c r="E36" s="36"/>
      <c r="F36" s="26"/>
      <c r="G36" s="28"/>
      <c r="H36" s="45"/>
      <c r="I36" s="26"/>
    </row>
    <row r="37" spans="1:9" x14ac:dyDescent="0.3">
      <c r="A37" s="13" t="s">
        <v>1</v>
      </c>
      <c r="B37" s="47"/>
      <c r="C37" s="36">
        <f>'[2]SPM poverty tables'!$D$843/1000</f>
        <v>9.2430000000000003</v>
      </c>
      <c r="D37" s="26">
        <f>C37/$B$36</f>
        <v>3.0549615444362549E-2</v>
      </c>
      <c r="E37" s="36">
        <f>'[3]SPM tables'!$D$843/1000</f>
        <v>8.9480000000000004</v>
      </c>
      <c r="F37" s="26">
        <f>E37/$B$36</f>
        <v>2.9574592556113392E-2</v>
      </c>
      <c r="G37" s="28">
        <f t="shared" si="2"/>
        <v>-0.29499999999999993</v>
      </c>
      <c r="H37" s="33">
        <f t="shared" ref="H37:H40" si="22">ROUND((F37-D37)*100,2)</f>
        <v>-0.1</v>
      </c>
      <c r="I37" s="26">
        <f t="shared" ref="I37:I40" si="23">(E37-C37)/C37</f>
        <v>-3.1916044574272412E-2</v>
      </c>
    </row>
    <row r="38" spans="1:9" x14ac:dyDescent="0.3">
      <c r="A38" s="13" t="s">
        <v>2</v>
      </c>
      <c r="B38" s="47"/>
      <c r="C38" s="36">
        <f>'[2]SPM poverty tables'!$E$843/1000</f>
        <v>55.503</v>
      </c>
      <c r="D38" s="26">
        <f t="shared" ref="D38:D39" si="24">C38/$B$36</f>
        <v>0.18344642497116245</v>
      </c>
      <c r="E38" s="36">
        <f>'[3]SPM tables'!$E$843/1000</f>
        <v>50.118000000000002</v>
      </c>
      <c r="F38" s="26">
        <f t="shared" ref="F38:F40" si="25">E38/$B$36</f>
        <v>0.16564812580769905</v>
      </c>
      <c r="G38" s="28">
        <f t="shared" si="2"/>
        <v>-5.384999999999998</v>
      </c>
      <c r="H38" s="33">
        <f t="shared" si="22"/>
        <v>-1.78</v>
      </c>
      <c r="I38" s="26">
        <f t="shared" si="23"/>
        <v>-9.7021782606345572E-2</v>
      </c>
    </row>
    <row r="39" spans="1:9" x14ac:dyDescent="0.3">
      <c r="A39" s="13" t="s">
        <v>3</v>
      </c>
      <c r="B39" s="47"/>
      <c r="C39" s="36">
        <f>'[2]SPM poverty tables'!$F$843/1000</f>
        <v>134.584</v>
      </c>
      <c r="D39" s="26">
        <f t="shared" si="24"/>
        <v>0.44482196743093033</v>
      </c>
      <c r="E39" s="36">
        <f>'[3]SPM tables'!$F$843/1000</f>
        <v>132.251</v>
      </c>
      <c r="F39" s="26">
        <f t="shared" si="25"/>
        <v>0.43711102370792942</v>
      </c>
      <c r="G39" s="28">
        <f t="shared" si="2"/>
        <v>-2.3329999999999984</v>
      </c>
      <c r="H39" s="33">
        <f t="shared" si="22"/>
        <v>-0.77</v>
      </c>
      <c r="I39" s="26">
        <f t="shared" si="23"/>
        <v>-1.7334898650656825E-2</v>
      </c>
    </row>
    <row r="40" spans="1:9" x14ac:dyDescent="0.3">
      <c r="A40" s="13" t="s">
        <v>4</v>
      </c>
      <c r="B40" s="47"/>
      <c r="C40" s="36">
        <f>'[2]SPM poverty tables'!$G$843/1000</f>
        <v>176.048</v>
      </c>
      <c r="D40" s="26">
        <f>C40/$B$36</f>
        <v>0.58186721840843214</v>
      </c>
      <c r="E40" s="36">
        <f>'[3]SPM tables'!$G$843/1000</f>
        <v>175.108</v>
      </c>
      <c r="F40" s="26">
        <f t="shared" si="25"/>
        <v>0.57876036581536705</v>
      </c>
      <c r="G40" s="28">
        <f t="shared" si="2"/>
        <v>-0.93999999999999773</v>
      </c>
      <c r="H40" s="33">
        <f t="shared" si="22"/>
        <v>-0.31</v>
      </c>
      <c r="I40" s="26">
        <f t="shared" si="23"/>
        <v>-5.3394528764882177E-3</v>
      </c>
    </row>
    <row r="41" spans="1:9" x14ac:dyDescent="0.3">
      <c r="A41" s="5" t="s">
        <v>22</v>
      </c>
      <c r="B41" s="47">
        <f>'[1]ATTIS Summary Tables'!$J$842/1000</f>
        <v>581.31899999999996</v>
      </c>
      <c r="C41" s="36"/>
      <c r="D41" s="26"/>
      <c r="E41" s="36"/>
      <c r="F41" s="26"/>
      <c r="G41" s="28"/>
      <c r="H41" s="45"/>
      <c r="I41" s="26"/>
    </row>
    <row r="42" spans="1:9" x14ac:dyDescent="0.3">
      <c r="A42" s="13" t="s">
        <v>1</v>
      </c>
      <c r="B42" s="47"/>
      <c r="C42" s="36">
        <f>'[2]SPM poverty tables'!$D$842/1000</f>
        <v>17.120999999999999</v>
      </c>
      <c r="D42" s="26">
        <f>C42/$B$41</f>
        <v>2.9451987635016229E-2</v>
      </c>
      <c r="E42" s="36">
        <f>'[3]SPM tables'!$D$842/1000</f>
        <v>15.445</v>
      </c>
      <c r="F42" s="26">
        <f>E42/$B$41</f>
        <v>2.6568889026506962E-2</v>
      </c>
      <c r="G42" s="28">
        <f t="shared" si="2"/>
        <v>-1.6759999999999984</v>
      </c>
      <c r="H42" s="33">
        <f t="shared" ref="H42:H45" si="26">ROUND((F42-D42)*100,2)</f>
        <v>-0.28999999999999998</v>
      </c>
      <c r="I42" s="26">
        <f t="shared" ref="I42:I45" si="27">(E42-C42)/C42</f>
        <v>-9.7891478301500995E-2</v>
      </c>
    </row>
    <row r="43" spans="1:9" x14ac:dyDescent="0.3">
      <c r="A43" s="13" t="s">
        <v>2</v>
      </c>
      <c r="B43" s="47"/>
      <c r="C43" s="36">
        <f>'[2]SPM poverty tables'!$E$842/1000</f>
        <v>90.269000000000005</v>
      </c>
      <c r="D43" s="26">
        <f t="shared" ref="D43:D45" si="28">C43/$B$41</f>
        <v>0.15528307177298525</v>
      </c>
      <c r="E43" s="36">
        <f>'[3]SPM tables'!$E$842/1000</f>
        <v>80.727999999999994</v>
      </c>
      <c r="F43" s="26">
        <f t="shared" ref="F43:F45" si="29">E43/$B$41</f>
        <v>0.13887039646046317</v>
      </c>
      <c r="G43" s="28">
        <f t="shared" si="2"/>
        <v>-9.541000000000011</v>
      </c>
      <c r="H43" s="33">
        <f t="shared" si="26"/>
        <v>-1.64</v>
      </c>
      <c r="I43" s="26">
        <f t="shared" si="27"/>
        <v>-0.10569519990251372</v>
      </c>
    </row>
    <row r="44" spans="1:9" x14ac:dyDescent="0.3">
      <c r="A44" s="13" t="s">
        <v>3</v>
      </c>
      <c r="B44" s="47"/>
      <c r="C44" s="36">
        <f>'[2]SPM poverty tables'!$F$842/1000</f>
        <v>290.92399999999998</v>
      </c>
      <c r="D44" s="26">
        <f t="shared" si="28"/>
        <v>0.50045499975056729</v>
      </c>
      <c r="E44" s="36">
        <f>'[3]SPM tables'!$F$842/1000</f>
        <v>276.14800000000002</v>
      </c>
      <c r="F44" s="26">
        <f t="shared" si="29"/>
        <v>0.47503694185120399</v>
      </c>
      <c r="G44" s="28">
        <f t="shared" si="2"/>
        <v>-14.775999999999954</v>
      </c>
      <c r="H44" s="33">
        <f t="shared" si="26"/>
        <v>-2.54</v>
      </c>
      <c r="I44" s="26">
        <f t="shared" si="27"/>
        <v>-5.0789897017777683E-2</v>
      </c>
    </row>
    <row r="45" spans="1:9" x14ac:dyDescent="0.3">
      <c r="A45" s="13" t="s">
        <v>4</v>
      </c>
      <c r="B45" s="47"/>
      <c r="C45" s="36">
        <f>'[2]SPM poverty tables'!$G$842/1000</f>
        <v>400.09300000000002</v>
      </c>
      <c r="D45" s="26">
        <f t="shared" si="28"/>
        <v>0.68825034103478477</v>
      </c>
      <c r="E45" s="36">
        <f>'[3]SPM tables'!$G$842/1000</f>
        <v>396.899</v>
      </c>
      <c r="F45" s="26">
        <f t="shared" si="29"/>
        <v>0.68275593950997648</v>
      </c>
      <c r="G45" s="28">
        <f t="shared" si="2"/>
        <v>-3.1940000000000168</v>
      </c>
      <c r="H45" s="33">
        <f t="shared" si="26"/>
        <v>-0.55000000000000004</v>
      </c>
      <c r="I45" s="26">
        <f t="shared" si="27"/>
        <v>-7.9831439190388657E-3</v>
      </c>
    </row>
    <row r="46" spans="1:9" x14ac:dyDescent="0.3">
      <c r="A46" s="5" t="s">
        <v>24</v>
      </c>
      <c r="B46" s="47">
        <f>'[1]ATTIS Summary Tables'!$J$844/1000</f>
        <v>995.53099999999995</v>
      </c>
      <c r="C46" s="36"/>
      <c r="D46" s="26"/>
      <c r="E46" s="36"/>
      <c r="F46" s="26"/>
      <c r="G46" s="28"/>
      <c r="H46" s="45"/>
      <c r="I46" s="26"/>
    </row>
    <row r="47" spans="1:9" x14ac:dyDescent="0.3">
      <c r="A47" s="13" t="s">
        <v>1</v>
      </c>
      <c r="B47" s="47"/>
      <c r="C47" s="36">
        <f>'[2]SPM poverty tables'!$D$844/1000</f>
        <v>28.303000000000001</v>
      </c>
      <c r="D47" s="26">
        <f>C47/$B$46</f>
        <v>2.8430053910927938E-2</v>
      </c>
      <c r="E47" s="36">
        <f>'[3]SPM tables'!$D$844/1000</f>
        <v>26.952000000000002</v>
      </c>
      <c r="F47" s="26">
        <f>E47/$B$46</f>
        <v>2.7072989188684234E-2</v>
      </c>
      <c r="G47" s="28">
        <f t="shared" si="2"/>
        <v>-1.3509999999999991</v>
      </c>
      <c r="H47" s="33">
        <f t="shared" ref="H47:H50" si="30">ROUND((F47-D47)*100,2)</f>
        <v>-0.14000000000000001</v>
      </c>
      <c r="I47" s="26">
        <f t="shared" ref="I47:I50" si="31">(E47-C47)/C47</f>
        <v>-4.7733455817404478E-2</v>
      </c>
    </row>
    <row r="48" spans="1:9" x14ac:dyDescent="0.3">
      <c r="A48" s="13" t="s">
        <v>2</v>
      </c>
      <c r="B48" s="47"/>
      <c r="C48" s="36">
        <f>'[2]SPM poverty tables'!$E$844/1000</f>
        <v>202.54900000000001</v>
      </c>
      <c r="D48" s="26">
        <f t="shared" ref="D48:D50" si="32">C48/$B$46</f>
        <v>0.20345825494133282</v>
      </c>
      <c r="E48" s="36">
        <f>'[3]SPM tables'!$E$844/1000</f>
        <v>184.06</v>
      </c>
      <c r="F48" s="26">
        <f t="shared" ref="F48:F50" si="33">E48/$B$46</f>
        <v>0.18488625668110789</v>
      </c>
      <c r="G48" s="28">
        <f t="shared" si="2"/>
        <v>-18.489000000000004</v>
      </c>
      <c r="H48" s="33">
        <f t="shared" si="30"/>
        <v>-1.86</v>
      </c>
      <c r="I48" s="26">
        <f t="shared" si="31"/>
        <v>-9.1281615806545591E-2</v>
      </c>
    </row>
    <row r="49" spans="1:9" x14ac:dyDescent="0.3">
      <c r="A49" s="13" t="s">
        <v>3</v>
      </c>
      <c r="B49" s="47"/>
      <c r="C49" s="36">
        <f>'[2]SPM poverty tables'!$F$844/1000</f>
        <v>530.75300000000004</v>
      </c>
      <c r="D49" s="26">
        <f t="shared" si="32"/>
        <v>0.53313558292006991</v>
      </c>
      <c r="E49" s="36">
        <f>'[3]SPM tables'!$F$844/1000</f>
        <v>519.16300000000001</v>
      </c>
      <c r="F49" s="26">
        <f t="shared" si="33"/>
        <v>0.52149355469593617</v>
      </c>
      <c r="G49" s="28">
        <f t="shared" si="2"/>
        <v>-11.590000000000032</v>
      </c>
      <c r="H49" s="33">
        <f t="shared" si="30"/>
        <v>-1.1599999999999999</v>
      </c>
      <c r="I49" s="26">
        <f t="shared" si="31"/>
        <v>-2.1836899650119795E-2</v>
      </c>
    </row>
    <row r="50" spans="1:9" x14ac:dyDescent="0.3">
      <c r="A50" s="13" t="s">
        <v>4</v>
      </c>
      <c r="B50" s="47"/>
      <c r="C50" s="36">
        <f>'[2]SPM poverty tables'!$G$843/1000</f>
        <v>176.048</v>
      </c>
      <c r="D50" s="26">
        <f t="shared" si="32"/>
        <v>0.17683829031943757</v>
      </c>
      <c r="E50" s="36">
        <f>'[3]SPM tables'!$G$843/1000</f>
        <v>175.108</v>
      </c>
      <c r="F50" s="26">
        <f t="shared" si="33"/>
        <v>0.17589407060151821</v>
      </c>
      <c r="G50" s="28">
        <f t="shared" si="2"/>
        <v>-0.93999999999999773</v>
      </c>
      <c r="H50" s="33">
        <f t="shared" si="30"/>
        <v>-0.09</v>
      </c>
      <c r="I50" s="26">
        <f t="shared" si="31"/>
        <v>-5.3394528764882177E-3</v>
      </c>
    </row>
    <row r="51" spans="1:9" x14ac:dyDescent="0.3">
      <c r="A51" s="5" t="s">
        <v>25</v>
      </c>
      <c r="B51" s="47">
        <f>'[1]ATTIS Summary Tables'!$J$841/1000</f>
        <v>1910.53</v>
      </c>
      <c r="C51" s="36"/>
      <c r="D51" s="26"/>
      <c r="E51" s="36"/>
      <c r="F51" s="26"/>
      <c r="G51" s="28"/>
      <c r="H51" s="45"/>
      <c r="I51" s="26"/>
    </row>
    <row r="52" spans="1:9" x14ac:dyDescent="0.3">
      <c r="A52" s="13" t="s">
        <v>1</v>
      </c>
      <c r="B52" s="47"/>
      <c r="C52" s="36">
        <f>'[2]SPM poverty tables'!$D$841/1000</f>
        <v>27.898</v>
      </c>
      <c r="D52" s="26">
        <f>C52/$B$51</f>
        <v>1.4602230794596265E-2</v>
      </c>
      <c r="E52" s="36">
        <f>'[3]SPM tables'!$D$841/1000</f>
        <v>26.149000000000001</v>
      </c>
      <c r="F52" s="26">
        <f>E52/$B$51</f>
        <v>1.3686778014477659E-2</v>
      </c>
      <c r="G52" s="28">
        <f t="shared" si="2"/>
        <v>-1.7489999999999988</v>
      </c>
      <c r="H52" s="33">
        <f t="shared" ref="H52:H55" si="34">ROUND((F52-D52)*100,2)</f>
        <v>-0.09</v>
      </c>
      <c r="I52" s="26">
        <f t="shared" ref="I52:I55" si="35">(E52-C52)/C52</f>
        <v>-6.2692666140941961E-2</v>
      </c>
    </row>
    <row r="53" spans="1:9" x14ac:dyDescent="0.3">
      <c r="A53" s="13" t="s">
        <v>2</v>
      </c>
      <c r="B53" s="47"/>
      <c r="C53" s="36">
        <f>'[2]SPM poverty tables'!$E$841/1000</f>
        <v>176.56100000000001</v>
      </c>
      <c r="D53" s="26">
        <f t="shared" ref="D53:D55" si="36">C53/$B$51</f>
        <v>9.2414670274740526E-2</v>
      </c>
      <c r="E53" s="36">
        <f>'[3]SPM tables'!$E$841/1000</f>
        <v>159.06299999999999</v>
      </c>
      <c r="F53" s="26">
        <f t="shared" ref="F53:F55" si="37">E53/$B$51</f>
        <v>8.3255955153805489E-2</v>
      </c>
      <c r="G53" s="28">
        <f t="shared" si="2"/>
        <v>-17.498000000000019</v>
      </c>
      <c r="H53" s="33">
        <f t="shared" si="34"/>
        <v>-0.92</v>
      </c>
      <c r="I53" s="26">
        <f t="shared" si="35"/>
        <v>-9.9104558764393141E-2</v>
      </c>
    </row>
    <row r="54" spans="1:9" x14ac:dyDescent="0.3">
      <c r="A54" s="13" t="s">
        <v>3</v>
      </c>
      <c r="B54" s="47"/>
      <c r="C54" s="36">
        <f>'[2]SPM poverty tables'!$F$841/1000</f>
        <v>442.54300000000001</v>
      </c>
      <c r="D54" s="26">
        <f t="shared" si="36"/>
        <v>0.23163363045856386</v>
      </c>
      <c r="E54" s="36">
        <f>'[3]SPM tables'!$F$841/1000</f>
        <v>424.97300000000001</v>
      </c>
      <c r="F54" s="26">
        <f t="shared" si="37"/>
        <v>0.22243722945988811</v>
      </c>
      <c r="G54" s="28">
        <f t="shared" si="2"/>
        <v>-17.569999999999993</v>
      </c>
      <c r="H54" s="33">
        <f t="shared" si="34"/>
        <v>-0.92</v>
      </c>
      <c r="I54" s="26">
        <f t="shared" si="35"/>
        <v>-3.9702356607154543E-2</v>
      </c>
    </row>
    <row r="55" spans="1:9" x14ac:dyDescent="0.3">
      <c r="A55" s="13" t="s">
        <v>4</v>
      </c>
      <c r="B55" s="47"/>
      <c r="C55" s="36">
        <f>'[2]SPM poverty tables'!$G$841/1000</f>
        <v>698.625</v>
      </c>
      <c r="D55" s="26">
        <f t="shared" si="36"/>
        <v>0.36567078245303658</v>
      </c>
      <c r="E55" s="36">
        <f>'[3]SPM tables'!$G$841/1000</f>
        <v>686.46600000000001</v>
      </c>
      <c r="F55" s="26">
        <f t="shared" si="37"/>
        <v>0.35930657984957054</v>
      </c>
      <c r="G55" s="28">
        <f t="shared" si="2"/>
        <v>-12.158999999999992</v>
      </c>
      <c r="H55" s="33">
        <f t="shared" si="34"/>
        <v>-0.64</v>
      </c>
      <c r="I55" s="26">
        <f t="shared" si="35"/>
        <v>-1.740418679549113E-2</v>
      </c>
    </row>
    <row r="56" spans="1:9" x14ac:dyDescent="0.3">
      <c r="A56" s="5" t="s">
        <v>60</v>
      </c>
      <c r="B56" s="47">
        <f>'[1]ATTIS Summary Tables'!$J$845/1000</f>
        <v>203.99799999999999</v>
      </c>
      <c r="C56" s="36"/>
      <c r="D56" s="26"/>
      <c r="E56" s="36"/>
      <c r="F56" s="26"/>
      <c r="G56" s="28"/>
      <c r="H56" s="45"/>
      <c r="I56" s="26"/>
    </row>
    <row r="57" spans="1:9" x14ac:dyDescent="0.3">
      <c r="A57" s="13" t="s">
        <v>1</v>
      </c>
      <c r="B57" s="47"/>
      <c r="C57" s="36">
        <f>'[2]SPM poverty tables'!$D$845/1000</f>
        <v>5.5570000000000004</v>
      </c>
      <c r="D57" s="26">
        <f>C57/$B$56</f>
        <v>2.7240463141795512E-2</v>
      </c>
      <c r="E57" s="36">
        <f>'[3]SPM tables'!$D$845/1000</f>
        <v>4.4660000000000002</v>
      </c>
      <c r="F57" s="26">
        <f>E57/$B$56</f>
        <v>2.1892371493838176E-2</v>
      </c>
      <c r="G57" s="28">
        <f t="shared" si="2"/>
        <v>-1.0910000000000002</v>
      </c>
      <c r="H57" s="38">
        <f t="shared" ref="H57:H60" si="38">ROUND((F57-D57)*100,2)</f>
        <v>-0.53</v>
      </c>
      <c r="I57" s="26">
        <f t="shared" ref="I57:I60" si="39">(E57-C57)/C57</f>
        <v>-0.19632895447183735</v>
      </c>
    </row>
    <row r="58" spans="1:9" x14ac:dyDescent="0.3">
      <c r="A58" s="13" t="s">
        <v>2</v>
      </c>
      <c r="B58" s="47"/>
      <c r="C58" s="36">
        <f>'[2]SPM poverty tables'!$E$845/1000</f>
        <v>31.452999999999999</v>
      </c>
      <c r="D58" s="37">
        <f t="shared" ref="D58:D60" si="40">C58/$B$56</f>
        <v>0.15418288414592302</v>
      </c>
      <c r="E58" s="36">
        <f>'[3]SPM tables'!$E$845/1000</f>
        <v>29.713999999999999</v>
      </c>
      <c r="F58" s="32">
        <f t="shared" ref="F58:F60" si="41">E58/$B$56</f>
        <v>0.14565829076755654</v>
      </c>
      <c r="G58" s="28">
        <f t="shared" si="2"/>
        <v>-1.7390000000000008</v>
      </c>
      <c r="H58" s="38">
        <f t="shared" si="38"/>
        <v>-0.85</v>
      </c>
      <c r="I58" s="26">
        <f t="shared" si="39"/>
        <v>-5.52888436715099E-2</v>
      </c>
    </row>
    <row r="59" spans="1:9" x14ac:dyDescent="0.3">
      <c r="A59" s="13" t="s">
        <v>3</v>
      </c>
      <c r="B59" s="47"/>
      <c r="C59" s="36">
        <f>'[2]SPM poverty tables'!$F$845/1000</f>
        <v>73.986000000000004</v>
      </c>
      <c r="D59" s="37">
        <f t="shared" si="40"/>
        <v>0.36268002627476742</v>
      </c>
      <c r="E59" s="36">
        <f>'[3]SPM tables'!$F$845/1000</f>
        <v>71.495000000000005</v>
      </c>
      <c r="F59" s="32">
        <f t="shared" si="41"/>
        <v>0.35046912224629656</v>
      </c>
      <c r="G59" s="28">
        <f t="shared" si="2"/>
        <v>-2.4909999999999997</v>
      </c>
      <c r="H59" s="38">
        <f t="shared" si="38"/>
        <v>-1.22</v>
      </c>
      <c r="I59" s="26">
        <f t="shared" si="39"/>
        <v>-3.366853188441056E-2</v>
      </c>
    </row>
    <row r="60" spans="1:9" ht="13.5" thickBot="1" x14ac:dyDescent="0.35">
      <c r="A60" s="16" t="s">
        <v>4</v>
      </c>
      <c r="B60" s="48"/>
      <c r="C60" s="39">
        <f>'[2]SPM poverty tables'!$G$845/1000</f>
        <v>104.681</v>
      </c>
      <c r="D60" s="40">
        <f t="shared" si="40"/>
        <v>0.51314718771752665</v>
      </c>
      <c r="E60" s="39">
        <f>'[3]SPM tables'!$G$845/1000</f>
        <v>104.31100000000001</v>
      </c>
      <c r="F60" s="41">
        <f t="shared" si="41"/>
        <v>0.51133344444553386</v>
      </c>
      <c r="G60" s="28">
        <f t="shared" si="2"/>
        <v>-0.36999999999999034</v>
      </c>
      <c r="H60" s="43">
        <f t="shared" si="38"/>
        <v>-0.18</v>
      </c>
      <c r="I60" s="26">
        <f t="shared" si="39"/>
        <v>-3.5345478167001687E-3</v>
      </c>
    </row>
    <row r="61" spans="1:9" ht="12.75" customHeight="1" x14ac:dyDescent="0.3">
      <c r="A61" s="78" t="s">
        <v>86</v>
      </c>
      <c r="B61" s="78"/>
      <c r="C61" s="78"/>
      <c r="D61" s="78"/>
      <c r="E61" s="78"/>
      <c r="F61" s="78"/>
      <c r="G61" s="78"/>
      <c r="H61" s="78"/>
      <c r="I61" s="78"/>
    </row>
    <row r="62" spans="1:9" ht="53.25" customHeight="1" x14ac:dyDescent="0.3">
      <c r="A62" s="75" t="s">
        <v>94</v>
      </c>
      <c r="B62" s="75"/>
      <c r="C62" s="75"/>
      <c r="D62" s="75"/>
      <c r="E62" s="75"/>
      <c r="F62" s="75"/>
      <c r="G62" s="75"/>
      <c r="H62" s="75"/>
      <c r="I62" s="75"/>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heetViews>
  <sheetFormatPr defaultColWidth="9.1796875" defaultRowHeight="13" x14ac:dyDescent="0.3"/>
  <cols>
    <col min="1" max="1" width="48.81640625" style="1" customWidth="1"/>
    <col min="2" max="2" width="12.3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10" x14ac:dyDescent="0.3">
      <c r="A1" s="6" t="s">
        <v>80</v>
      </c>
      <c r="B1" s="25"/>
    </row>
    <row r="2" spans="1:10" x14ac:dyDescent="0.3">
      <c r="A2" s="6" t="s">
        <v>139</v>
      </c>
      <c r="B2" s="25"/>
    </row>
    <row r="3" spans="1:10" x14ac:dyDescent="0.3">
      <c r="A3" s="71" t="s">
        <v>145</v>
      </c>
      <c r="B3" s="25"/>
    </row>
    <row r="4" spans="1:10" x14ac:dyDescent="0.3">
      <c r="A4" s="1" t="s">
        <v>112</v>
      </c>
      <c r="E4" s="72"/>
      <c r="F4" s="72"/>
      <c r="G4" s="72"/>
    </row>
    <row r="5" spans="1:10" ht="28.5" customHeight="1" thickBot="1" x14ac:dyDescent="0.35">
      <c r="E5" s="73" t="s">
        <v>136</v>
      </c>
      <c r="F5" s="73"/>
      <c r="G5" s="73"/>
      <c r="H5" s="73"/>
      <c r="I5" s="73"/>
      <c r="J5" s="17"/>
    </row>
    <row r="6" spans="1:10" ht="56" customHeight="1" thickBot="1" x14ac:dyDescent="0.35">
      <c r="A6" s="3"/>
      <c r="B6" s="18" t="s">
        <v>72</v>
      </c>
      <c r="C6" s="23" t="s">
        <v>100</v>
      </c>
      <c r="D6" s="23" t="s">
        <v>99</v>
      </c>
      <c r="E6" s="24" t="s">
        <v>101</v>
      </c>
      <c r="F6" s="23" t="s">
        <v>98</v>
      </c>
      <c r="G6" s="23" t="s">
        <v>73</v>
      </c>
      <c r="H6" s="23" t="s">
        <v>74</v>
      </c>
      <c r="I6" s="23" t="s">
        <v>77</v>
      </c>
      <c r="J6" s="9"/>
    </row>
    <row r="7" spans="1:10" ht="14.5" x14ac:dyDescent="0.3">
      <c r="A7" s="1" t="s">
        <v>96</v>
      </c>
      <c r="B7" s="49">
        <f>'[1]ATTIS Summary Tables'!$C$172</f>
        <v>8068</v>
      </c>
      <c r="C7" s="50"/>
      <c r="D7" s="51"/>
      <c r="E7" s="50"/>
      <c r="F7" s="52"/>
      <c r="G7" s="28"/>
      <c r="H7" s="45"/>
      <c r="I7" s="26"/>
    </row>
    <row r="8" spans="1:10" ht="14.5" x14ac:dyDescent="0.3">
      <c r="A8" s="12" t="s">
        <v>93</v>
      </c>
      <c r="B8" s="53"/>
      <c r="C8" s="54"/>
      <c r="D8" s="55"/>
      <c r="E8" s="54"/>
      <c r="F8" s="56"/>
      <c r="H8" s="57"/>
    </row>
    <row r="9" spans="1:10" x14ac:dyDescent="0.3">
      <c r="A9" s="5" t="s">
        <v>1</v>
      </c>
      <c r="B9" s="47"/>
      <c r="C9" s="36">
        <f>'[2]SPM poverty tables'!$C$215</f>
        <v>442</v>
      </c>
      <c r="D9" s="37">
        <f>C9/$B$7</f>
        <v>5.4784333168071395E-2</v>
      </c>
      <c r="E9" s="36">
        <f>'[3]SPM tables'!$C$215</f>
        <v>437</v>
      </c>
      <c r="F9" s="32">
        <f>E9/$B$7</f>
        <v>5.4164600892414476E-2</v>
      </c>
      <c r="G9" s="28">
        <f>E9-C9</f>
        <v>-5</v>
      </c>
      <c r="H9" s="33">
        <f>ROUND((F9-D9)*100,2)</f>
        <v>-0.06</v>
      </c>
      <c r="I9" s="26">
        <f>(E9-C9)/C9</f>
        <v>-1.1312217194570135E-2</v>
      </c>
    </row>
    <row r="10" spans="1:10" x14ac:dyDescent="0.3">
      <c r="A10" s="5" t="s">
        <v>2</v>
      </c>
      <c r="B10" s="47"/>
      <c r="C10" s="36">
        <f>SUM('[2]SPM poverty tables'!$C$215:$C$218)</f>
        <v>1308</v>
      </c>
      <c r="D10" s="37">
        <f t="shared" ref="D10:F12" si="0">C10/$B$7</f>
        <v>0.16212196331184928</v>
      </c>
      <c r="E10" s="36">
        <f>SUM('[3]SPM tables'!$C$215:$C$218)</f>
        <v>1286</v>
      </c>
      <c r="F10" s="32">
        <f t="shared" si="0"/>
        <v>0.15939514129895885</v>
      </c>
      <c r="G10" s="28">
        <f t="shared" ref="G10:G46" si="1">E10-C10</f>
        <v>-22</v>
      </c>
      <c r="H10" s="33">
        <f t="shared" ref="H10:H12" si="2">ROUND((F10-D10)*100,2)</f>
        <v>-0.27</v>
      </c>
      <c r="I10" s="26">
        <f t="shared" ref="I10:I12" si="3">(E10-C10)/C10</f>
        <v>-1.6819571865443424E-2</v>
      </c>
    </row>
    <row r="11" spans="1:10" x14ac:dyDescent="0.3">
      <c r="A11" s="5" t="s">
        <v>3</v>
      </c>
      <c r="B11" s="47"/>
      <c r="C11" s="36">
        <f>SUM('[2]SPM poverty tables'!$C$215:$C$220)</f>
        <v>2639</v>
      </c>
      <c r="D11" s="37">
        <f t="shared" si="0"/>
        <v>0.3270946950917204</v>
      </c>
      <c r="E11" s="36">
        <f>SUM('[3]SPM tables'!$C$215:$C$220)</f>
        <v>2617</v>
      </c>
      <c r="F11" s="32">
        <f t="shared" si="0"/>
        <v>0.32436787307882997</v>
      </c>
      <c r="G11" s="28">
        <f t="shared" si="1"/>
        <v>-22</v>
      </c>
      <c r="H11" s="33">
        <f t="shared" si="2"/>
        <v>-0.27</v>
      </c>
      <c r="I11" s="26">
        <f t="shared" si="3"/>
        <v>-8.3364910951117845E-3</v>
      </c>
    </row>
    <row r="12" spans="1:10" x14ac:dyDescent="0.3">
      <c r="A12" s="5" t="s">
        <v>4</v>
      </c>
      <c r="B12" s="47"/>
      <c r="C12" s="36">
        <f>SUM('[2]SPM poverty tables'!$C$215:$C$222)</f>
        <v>3570</v>
      </c>
      <c r="D12" s="37">
        <f t="shared" si="0"/>
        <v>0.44248884481903816</v>
      </c>
      <c r="E12" s="36">
        <f>SUM('[3]SPM tables'!$C$215:$C$222)</f>
        <v>3560</v>
      </c>
      <c r="F12" s="32">
        <f t="shared" si="0"/>
        <v>0.44124938026772437</v>
      </c>
      <c r="G12" s="28">
        <f t="shared" si="1"/>
        <v>-10</v>
      </c>
      <c r="H12" s="33">
        <f t="shared" si="2"/>
        <v>-0.12</v>
      </c>
      <c r="I12" s="26">
        <f t="shared" si="3"/>
        <v>-2.8011204481792717E-3</v>
      </c>
    </row>
    <row r="13" spans="1:10" x14ac:dyDescent="0.3">
      <c r="A13" s="7" t="s">
        <v>129</v>
      </c>
      <c r="B13" s="47">
        <f>'[1]ATTIS Summary Tables'!$C$172-'[1]ATTIS Summary Tables'!$D$172</f>
        <v>5981</v>
      </c>
      <c r="C13" s="36"/>
      <c r="D13" s="37"/>
      <c r="E13" s="36"/>
      <c r="F13" s="32"/>
      <c r="G13" s="28"/>
      <c r="H13" s="45"/>
      <c r="I13" s="26"/>
    </row>
    <row r="14" spans="1:10" x14ac:dyDescent="0.3">
      <c r="A14" s="12" t="s">
        <v>20</v>
      </c>
      <c r="B14" s="46"/>
      <c r="C14" s="36"/>
      <c r="D14" s="58"/>
      <c r="E14" s="34"/>
      <c r="F14" s="59"/>
      <c r="G14" s="28"/>
      <c r="H14" s="35"/>
      <c r="I14" s="26"/>
    </row>
    <row r="15" spans="1:10" ht="14.25" customHeight="1" x14ac:dyDescent="0.3">
      <c r="A15" s="5" t="s">
        <v>1</v>
      </c>
      <c r="B15" s="47"/>
      <c r="C15" s="36">
        <f>'[2]SPM poverty tables'!$C$215-'[2]SPM poverty tables'!$D$215</f>
        <v>393</v>
      </c>
      <c r="D15" s="37">
        <f>C15/$B$13</f>
        <v>6.5708075572646713E-2</v>
      </c>
      <c r="E15" s="36">
        <f>'[3]SPM tables'!$C$215-'[3]SPM tables'!$D$215</f>
        <v>392</v>
      </c>
      <c r="F15" s="32">
        <f>E15/$B$13</f>
        <v>6.5540879451596729E-2</v>
      </c>
      <c r="G15" s="28">
        <f t="shared" si="1"/>
        <v>-1</v>
      </c>
      <c r="H15" s="33">
        <f t="shared" ref="H15:H18" si="4">ROUND((F15-D15)*100,2)</f>
        <v>-0.02</v>
      </c>
      <c r="I15" s="26">
        <f t="shared" ref="I15:I18" si="5">(E15-C15)/C15</f>
        <v>-2.5445292620865142E-3</v>
      </c>
    </row>
    <row r="16" spans="1:10" x14ac:dyDescent="0.3">
      <c r="A16" s="5" t="s">
        <v>2</v>
      </c>
      <c r="B16" s="47"/>
      <c r="C16" s="36">
        <f>SUM('[2]SPM poverty tables'!$C$215:$C$218)-SUM('[2]SPM poverty tables'!$D$215:$D$218)</f>
        <v>1028</v>
      </c>
      <c r="D16" s="37">
        <f t="shared" ref="D16:F18" si="6">C16/$B$13</f>
        <v>0.1718776124393914</v>
      </c>
      <c r="E16" s="36">
        <f>SUM('[3]SPM tables'!$C$215:$C$218)-SUM('[3]SPM tables'!$D$215:$D$218)</f>
        <v>1028</v>
      </c>
      <c r="F16" s="32">
        <f t="shared" si="6"/>
        <v>0.1718776124393914</v>
      </c>
      <c r="G16" s="28">
        <f t="shared" si="1"/>
        <v>0</v>
      </c>
      <c r="H16" s="33">
        <f t="shared" si="4"/>
        <v>0</v>
      </c>
      <c r="I16" s="26">
        <f t="shared" si="5"/>
        <v>0</v>
      </c>
    </row>
    <row r="17" spans="1:9" x14ac:dyDescent="0.3">
      <c r="A17" s="5" t="s">
        <v>3</v>
      </c>
      <c r="B17" s="47"/>
      <c r="C17" s="36">
        <f>SUM('[2]SPM poverty tables'!$C$215:$C$220)-SUM('[2]SPM poverty tables'!$D$215:$D$220)</f>
        <v>1916</v>
      </c>
      <c r="D17" s="37">
        <f t="shared" si="6"/>
        <v>0.32034776793178399</v>
      </c>
      <c r="E17" s="36">
        <f>SUM('[3]SPM tables'!$C$215:$C$220)-SUM('[3]SPM tables'!$D$215:$D$220)</f>
        <v>1915</v>
      </c>
      <c r="F17" s="32">
        <f t="shared" si="6"/>
        <v>0.320180571810734</v>
      </c>
      <c r="G17" s="28">
        <f t="shared" si="1"/>
        <v>-1</v>
      </c>
      <c r="H17" s="33">
        <f t="shared" si="4"/>
        <v>-0.02</v>
      </c>
      <c r="I17" s="26">
        <f t="shared" si="5"/>
        <v>-5.2192066805845506E-4</v>
      </c>
    </row>
    <row r="18" spans="1:9" x14ac:dyDescent="0.3">
      <c r="A18" s="5" t="s">
        <v>4</v>
      </c>
      <c r="B18" s="47"/>
      <c r="C18" s="36">
        <f>SUM('[2]SPM poverty tables'!$C$215:$C$222)-SUM('[2]SPM poverty tables'!$D$215:$D$222)</f>
        <v>2532</v>
      </c>
      <c r="D18" s="37">
        <f t="shared" si="6"/>
        <v>0.42334057849857881</v>
      </c>
      <c r="E18" s="36">
        <f>SUM('[3]SPM tables'!$C$215:$C$222)-SUM('[3]SPM tables'!$D$215:$D$222)</f>
        <v>2531</v>
      </c>
      <c r="F18" s="32">
        <f t="shared" si="6"/>
        <v>0.42317338237752883</v>
      </c>
      <c r="G18" s="28">
        <f t="shared" si="1"/>
        <v>-1</v>
      </c>
      <c r="H18" s="33">
        <f t="shared" si="4"/>
        <v>-0.02</v>
      </c>
      <c r="I18" s="26">
        <f t="shared" si="5"/>
        <v>-3.9494470774091627E-4</v>
      </c>
    </row>
    <row r="19" spans="1:9" x14ac:dyDescent="0.3">
      <c r="A19" s="1" t="s">
        <v>69</v>
      </c>
      <c r="B19" s="47">
        <f>'[1]ATTIS Summary Tables'!$D$172</f>
        <v>2087</v>
      </c>
      <c r="C19" s="36"/>
      <c r="D19" s="37"/>
      <c r="E19" s="36"/>
      <c r="F19" s="32"/>
      <c r="G19" s="28"/>
      <c r="H19" s="45"/>
      <c r="I19" s="26"/>
    </row>
    <row r="20" spans="1:9" x14ac:dyDescent="0.3">
      <c r="A20" s="12" t="s">
        <v>20</v>
      </c>
      <c r="B20" s="46"/>
      <c r="C20" s="34"/>
      <c r="D20" s="58"/>
      <c r="E20" s="34"/>
      <c r="F20" s="59"/>
      <c r="G20" s="28"/>
      <c r="H20" s="35"/>
      <c r="I20" s="26"/>
    </row>
    <row r="21" spans="1:9" x14ac:dyDescent="0.3">
      <c r="A21" s="5" t="s">
        <v>1</v>
      </c>
      <c r="B21" s="47"/>
      <c r="C21" s="36">
        <f>'[2]SPM poverty tables'!$D$215</f>
        <v>49</v>
      </c>
      <c r="D21" s="37">
        <f>C21/$B$19</f>
        <v>2.3478677527551509E-2</v>
      </c>
      <c r="E21" s="36">
        <f>'[3]SPM tables'!$D$215</f>
        <v>45</v>
      </c>
      <c r="F21" s="32">
        <f>E21/$B$19</f>
        <v>2.1562050790608529E-2</v>
      </c>
      <c r="G21" s="28">
        <f t="shared" si="1"/>
        <v>-4</v>
      </c>
      <c r="H21" s="33">
        <f t="shared" ref="H21:H24" si="7">ROUND((F21-D21)*100,2)</f>
        <v>-0.19</v>
      </c>
      <c r="I21" s="26">
        <f t="shared" ref="I21:I24" si="8">(E21-C21)/C21</f>
        <v>-8.1632653061224483E-2</v>
      </c>
    </row>
    <row r="22" spans="1:9" x14ac:dyDescent="0.3">
      <c r="A22" s="5" t="s">
        <v>2</v>
      </c>
      <c r="B22" s="47"/>
      <c r="C22" s="36">
        <f>SUM('[2]SPM poverty tables'!$D$215:$D$218)</f>
        <v>280</v>
      </c>
      <c r="D22" s="37">
        <f t="shared" ref="D22:F24" si="9">C22/$B$19</f>
        <v>0.13416387158600862</v>
      </c>
      <c r="E22" s="36">
        <f>SUM('[3]SPM tables'!$D$215:$D$218)</f>
        <v>258</v>
      </c>
      <c r="F22" s="32">
        <f t="shared" si="9"/>
        <v>0.12362242453282224</v>
      </c>
      <c r="G22" s="28">
        <f t="shared" si="1"/>
        <v>-22</v>
      </c>
      <c r="H22" s="33">
        <f t="shared" si="7"/>
        <v>-1.05</v>
      </c>
      <c r="I22" s="26">
        <f t="shared" si="8"/>
        <v>-7.857142857142857E-2</v>
      </c>
    </row>
    <row r="23" spans="1:9" x14ac:dyDescent="0.3">
      <c r="A23" s="5" t="s">
        <v>3</v>
      </c>
      <c r="B23" s="47"/>
      <c r="C23" s="36">
        <f>SUM('[2]SPM poverty tables'!$D$215:$D$220)</f>
        <v>723</v>
      </c>
      <c r="D23" s="37">
        <f t="shared" si="9"/>
        <v>0.34643028270244369</v>
      </c>
      <c r="E23" s="36">
        <f>SUM('[3]SPM tables'!$D$215:$D$220)</f>
        <v>702</v>
      </c>
      <c r="F23" s="32">
        <f t="shared" si="9"/>
        <v>0.33636799233349307</v>
      </c>
      <c r="G23" s="28">
        <f t="shared" si="1"/>
        <v>-21</v>
      </c>
      <c r="H23" s="33">
        <f t="shared" si="7"/>
        <v>-1.01</v>
      </c>
      <c r="I23" s="26">
        <f t="shared" si="8"/>
        <v>-2.9045643153526972E-2</v>
      </c>
    </row>
    <row r="24" spans="1:9" x14ac:dyDescent="0.3">
      <c r="A24" s="5" t="s">
        <v>4</v>
      </c>
      <c r="B24" s="47"/>
      <c r="C24" s="36">
        <f>SUM('[2]SPM poverty tables'!$D$215:$D$222)</f>
        <v>1038</v>
      </c>
      <c r="D24" s="37">
        <f t="shared" si="9"/>
        <v>0.4973646382367034</v>
      </c>
      <c r="E24" s="36">
        <f>SUM('[3]SPM tables'!$D$215:$D$222)</f>
        <v>1029</v>
      </c>
      <c r="F24" s="32">
        <f t="shared" si="9"/>
        <v>0.49305222807858168</v>
      </c>
      <c r="G24" s="28">
        <f t="shared" si="1"/>
        <v>-9</v>
      </c>
      <c r="H24" s="33">
        <f t="shared" si="7"/>
        <v>-0.43</v>
      </c>
      <c r="I24" s="26">
        <f t="shared" si="8"/>
        <v>-8.670520231213872E-3</v>
      </c>
    </row>
    <row r="25" spans="1:9" x14ac:dyDescent="0.3">
      <c r="A25" s="12" t="s">
        <v>26</v>
      </c>
      <c r="B25" s="46"/>
      <c r="C25" s="34"/>
      <c r="D25" s="58"/>
      <c r="E25" s="34"/>
      <c r="F25" s="59"/>
      <c r="G25" s="28"/>
      <c r="H25" s="45"/>
      <c r="I25" s="26"/>
    </row>
    <row r="26" spans="1:9" x14ac:dyDescent="0.3">
      <c r="A26" s="5" t="s">
        <v>7</v>
      </c>
      <c r="B26" s="47">
        <f>'[1]ATTIS Summary Tables'!$D$172-'[1]ATTIS Summary Tables'!$G$172-'[1]ATTIS Summary Tables'!$H$172</f>
        <v>1326</v>
      </c>
      <c r="C26" s="36"/>
      <c r="D26" s="37"/>
      <c r="E26" s="36"/>
      <c r="F26" s="32"/>
      <c r="G26" s="28"/>
      <c r="H26" s="45"/>
      <c r="I26" s="26"/>
    </row>
    <row r="27" spans="1:9" x14ac:dyDescent="0.3">
      <c r="A27" s="13" t="s">
        <v>1</v>
      </c>
      <c r="B27" s="47"/>
      <c r="C27" s="36">
        <f>'[2]SPM poverty tables'!$D$215-'[2]SPM poverty tables'!$G$215-'[2]SPM poverty tables'!$H$215</f>
        <v>16</v>
      </c>
      <c r="D27" s="37">
        <f>C27/$B$26</f>
        <v>1.2066365007541479E-2</v>
      </c>
      <c r="E27" s="36">
        <f>'[3]SPM tables'!$D$215-'[3]SPM tables'!$G$215-'[3]SPM tables'!$H$215</f>
        <v>14</v>
      </c>
      <c r="F27" s="32">
        <f>E27/$B$26</f>
        <v>1.0558069381598794E-2</v>
      </c>
      <c r="G27" s="28">
        <f t="shared" si="1"/>
        <v>-2</v>
      </c>
      <c r="H27" s="33">
        <f t="shared" ref="H27:H30" si="10">ROUND((F27-D27)*100,2)</f>
        <v>-0.15</v>
      </c>
      <c r="I27" s="26">
        <f t="shared" ref="I27:I30" si="11">(E27-C27)/C27</f>
        <v>-0.125</v>
      </c>
    </row>
    <row r="28" spans="1:9" x14ac:dyDescent="0.3">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101</v>
      </c>
      <c r="F28" s="32">
        <f t="shared" si="12"/>
        <v>7.6168929110105574E-2</v>
      </c>
      <c r="G28" s="28">
        <f t="shared" si="1"/>
        <v>-12</v>
      </c>
      <c r="H28" s="33">
        <f t="shared" si="10"/>
        <v>-0.9</v>
      </c>
      <c r="I28" s="26">
        <f t="shared" si="11"/>
        <v>-0.10619469026548672</v>
      </c>
    </row>
    <row r="29" spans="1:9" x14ac:dyDescent="0.3">
      <c r="A29" s="13" t="s">
        <v>3</v>
      </c>
      <c r="B29" s="47"/>
      <c r="C29" s="36">
        <f>SUM('[2]SPM poverty tables'!$D$215:$D$220)-SUM('[2]SPM poverty tables'!$G$215:$G$220)-SUM('[2]SPM poverty tables'!$H$215:$H$220)</f>
        <v>318</v>
      </c>
      <c r="D29" s="37">
        <f t="shared" si="12"/>
        <v>0.23981900452488689</v>
      </c>
      <c r="E29" s="36">
        <f>SUM('[3]SPM tables'!$D$215:$D$220)-SUM('[3]SPM tables'!$G$215:$G$220)-SUM('[3]SPM tables'!$H$215:$H$220)</f>
        <v>308</v>
      </c>
      <c r="F29" s="32">
        <f t="shared" si="12"/>
        <v>0.23227752639517346</v>
      </c>
      <c r="G29" s="28">
        <f t="shared" si="1"/>
        <v>-10</v>
      </c>
      <c r="H29" s="33">
        <f t="shared" si="10"/>
        <v>-0.75</v>
      </c>
      <c r="I29" s="26">
        <f t="shared" si="11"/>
        <v>-3.1446540880503145E-2</v>
      </c>
    </row>
    <row r="30" spans="1:9" x14ac:dyDescent="0.3">
      <c r="A30" s="13" t="s">
        <v>4</v>
      </c>
      <c r="B30" s="47"/>
      <c r="C30" s="36">
        <f>SUM('[2]SPM poverty tables'!$D$215:$D$222)-SUM('[2]SPM poverty tables'!$G$215:$G$222)-SUM('[2]SPM poverty tables'!$H$215:$H$222)</f>
        <v>495</v>
      </c>
      <c r="D30" s="37">
        <f t="shared" si="12"/>
        <v>0.37330316742081449</v>
      </c>
      <c r="E30" s="36">
        <f>SUM('[3]SPM tables'!$D$215:$D$222)-SUM('[3]SPM tables'!$G$215:$G$222)-SUM('[3]SPM tables'!$H$215:$H$222)</f>
        <v>490</v>
      </c>
      <c r="F30" s="32">
        <f t="shared" si="12"/>
        <v>0.36953242835595779</v>
      </c>
      <c r="G30" s="28">
        <f t="shared" si="1"/>
        <v>-5</v>
      </c>
      <c r="H30" s="33">
        <f t="shared" si="10"/>
        <v>-0.38</v>
      </c>
      <c r="I30" s="26">
        <f t="shared" si="11"/>
        <v>-1.0101010101010102E-2</v>
      </c>
    </row>
    <row r="31" spans="1:9" x14ac:dyDescent="0.3">
      <c r="A31" s="5" t="s">
        <v>102</v>
      </c>
      <c r="B31" s="47">
        <f>'[1]ATTIS Summary Tables'!$G$172+'[1]ATTIS Summary Tables'!$H$172</f>
        <v>761</v>
      </c>
      <c r="C31" s="36"/>
      <c r="D31" s="37"/>
      <c r="E31" s="36"/>
      <c r="F31" s="32"/>
      <c r="G31" s="28"/>
      <c r="H31" s="45"/>
      <c r="I31" s="26"/>
    </row>
    <row r="32" spans="1:9" x14ac:dyDescent="0.3">
      <c r="A32" s="13" t="s">
        <v>1</v>
      </c>
      <c r="B32" s="47"/>
      <c r="C32" s="36">
        <f>SUM('[2]SPM poverty tables'!$G$215:$H$215)</f>
        <v>33</v>
      </c>
      <c r="D32" s="37">
        <f>C32/$B$31</f>
        <v>4.3363994743758211E-2</v>
      </c>
      <c r="E32" s="36">
        <f>SUM('[3]SPM tables'!$G$215:$H$215)</f>
        <v>31</v>
      </c>
      <c r="F32" s="32">
        <f>E32/$B$31</f>
        <v>4.0735873850197106E-2</v>
      </c>
      <c r="G32" s="28">
        <f t="shared" si="1"/>
        <v>-2</v>
      </c>
      <c r="H32" s="33">
        <f t="shared" ref="H32:H35" si="13">ROUND((F32-D32)*100,2)</f>
        <v>-0.26</v>
      </c>
      <c r="I32" s="26">
        <f t="shared" ref="I32:I35" si="14">(E32-C32)/C32</f>
        <v>-6.0606060606060608E-2</v>
      </c>
    </row>
    <row r="33" spans="1:9" x14ac:dyDescent="0.3">
      <c r="A33" s="13" t="s">
        <v>2</v>
      </c>
      <c r="B33" s="47"/>
      <c r="C33" s="36">
        <f>SUM('[2]SPM poverty tables'!$G$215:$H$218)</f>
        <v>167</v>
      </c>
      <c r="D33" s="37">
        <f t="shared" ref="D33:F35" si="15">C33/$B$31</f>
        <v>0.21944809461235218</v>
      </c>
      <c r="E33" s="36">
        <f>SUM('[3]SPM tables'!$G$215:$H$218)</f>
        <v>157</v>
      </c>
      <c r="F33" s="32">
        <f t="shared" si="15"/>
        <v>0.20630749014454666</v>
      </c>
      <c r="G33" s="28">
        <f t="shared" si="1"/>
        <v>-10</v>
      </c>
      <c r="H33" s="33">
        <f t="shared" si="13"/>
        <v>-1.31</v>
      </c>
      <c r="I33" s="26">
        <f t="shared" si="14"/>
        <v>-5.9880239520958084E-2</v>
      </c>
    </row>
    <row r="34" spans="1:9" x14ac:dyDescent="0.3">
      <c r="A34" s="13" t="s">
        <v>3</v>
      </c>
      <c r="B34" s="47"/>
      <c r="C34" s="36">
        <f>SUM('[2]SPM poverty tables'!$G$215:$H$220)</f>
        <v>405</v>
      </c>
      <c r="D34" s="37">
        <f t="shared" si="15"/>
        <v>0.53219448094612354</v>
      </c>
      <c r="E34" s="36">
        <f>SUM('[3]SPM tables'!$G$215:$H$220)</f>
        <v>394</v>
      </c>
      <c r="F34" s="32">
        <f t="shared" si="15"/>
        <v>0.5177398160315374</v>
      </c>
      <c r="G34" s="28">
        <f t="shared" si="1"/>
        <v>-11</v>
      </c>
      <c r="H34" s="33">
        <f t="shared" si="13"/>
        <v>-1.45</v>
      </c>
      <c r="I34" s="26">
        <f t="shared" si="14"/>
        <v>-2.7160493827160494E-2</v>
      </c>
    </row>
    <row r="35" spans="1:9" x14ac:dyDescent="0.3">
      <c r="A35" s="13" t="s">
        <v>4</v>
      </c>
      <c r="B35" s="47"/>
      <c r="C35" s="36">
        <f>SUM('[2]SPM poverty tables'!$G$215:$H$222)</f>
        <v>543</v>
      </c>
      <c r="D35" s="37">
        <f t="shared" si="15"/>
        <v>0.71353482260183965</v>
      </c>
      <c r="E35" s="36">
        <f>SUM('[3]SPM tables'!$G$215:$H$222)</f>
        <v>539</v>
      </c>
      <c r="F35" s="32">
        <f t="shared" si="15"/>
        <v>0.70827858081471751</v>
      </c>
      <c r="G35" s="28">
        <f t="shared" si="1"/>
        <v>-4</v>
      </c>
      <c r="H35" s="33">
        <f t="shared" si="13"/>
        <v>-0.53</v>
      </c>
      <c r="I35" s="26">
        <f t="shared" si="14"/>
        <v>-7.3664825046040518E-3</v>
      </c>
    </row>
    <row r="36" spans="1:9" x14ac:dyDescent="0.3">
      <c r="A36" s="12" t="s">
        <v>68</v>
      </c>
      <c r="B36" s="46"/>
      <c r="C36" s="34"/>
      <c r="D36" s="37"/>
      <c r="E36" s="34"/>
      <c r="F36" s="32"/>
      <c r="G36" s="28"/>
      <c r="H36" s="45"/>
      <c r="I36" s="26"/>
    </row>
    <row r="37" spans="1:9" x14ac:dyDescent="0.3">
      <c r="A37" s="5" t="s">
        <v>28</v>
      </c>
      <c r="B37" s="47">
        <f>('[1]ATTIS Summary Tables'!$H$2651-'[1]ATTIS Summary Tables'!$H$2631)/1000</f>
        <v>1213.3720000000001</v>
      </c>
      <c r="C37" s="36"/>
      <c r="D37" s="37"/>
      <c r="E37" s="36"/>
      <c r="F37" s="32"/>
      <c r="G37" s="28"/>
      <c r="H37" s="45"/>
      <c r="I37" s="26"/>
    </row>
    <row r="38" spans="1:9" x14ac:dyDescent="0.3">
      <c r="A38" s="13" t="s">
        <v>1</v>
      </c>
      <c r="B38" s="47"/>
      <c r="C38" s="36">
        <f>('[2]SPM poverty tables'!$C$2651-'[2]SPM poverty tables'!$C$2631)/1000</f>
        <v>23.302</v>
      </c>
      <c r="D38" s="37">
        <f>C38/$B$37</f>
        <v>1.9204333048727016E-2</v>
      </c>
      <c r="E38" s="36">
        <f>('[3]SPM tables'!$C$2651-'[3]SPM tables'!$C$2631)/1000</f>
        <v>21.99</v>
      </c>
      <c r="F38" s="32">
        <f>E38/$B$37</f>
        <v>1.8123048825916536E-2</v>
      </c>
      <c r="G38" s="28">
        <f t="shared" si="1"/>
        <v>-1.3120000000000012</v>
      </c>
      <c r="H38" s="33">
        <f t="shared" ref="H38:H41" si="16">ROUND((F38-D38)*100,2)</f>
        <v>-0.11</v>
      </c>
      <c r="I38" s="26">
        <f t="shared" ref="I38:I41" si="17">(E38-C38)/C38</f>
        <v>-5.6304179898721191E-2</v>
      </c>
    </row>
    <row r="39" spans="1:9" x14ac:dyDescent="0.3">
      <c r="A39" s="13" t="s">
        <v>2</v>
      </c>
      <c r="B39" s="47"/>
      <c r="C39" s="36">
        <f>('[2]SPM poverty tables'!$D$2651-'[2]SPM poverty tables'!$D$2631)/1000</f>
        <v>114.416</v>
      </c>
      <c r="D39" s="37">
        <f t="shared" ref="D39:F41" si="18">C39/$B$37</f>
        <v>9.4295896064850671E-2</v>
      </c>
      <c r="E39" s="36">
        <f>('[3]SPM tables'!$D$2651-'[3]SPM tables'!$D$2631)/1000</f>
        <v>108.82899999999999</v>
      </c>
      <c r="F39" s="32">
        <f t="shared" si="18"/>
        <v>8.9691372472745362E-2</v>
      </c>
      <c r="G39" s="28">
        <f t="shared" si="1"/>
        <v>-5.5870000000000033</v>
      </c>
      <c r="H39" s="33">
        <f t="shared" si="16"/>
        <v>-0.46</v>
      </c>
      <c r="I39" s="26">
        <f t="shared" si="17"/>
        <v>-4.8830583135225876E-2</v>
      </c>
    </row>
    <row r="40" spans="1:9" x14ac:dyDescent="0.3">
      <c r="A40" s="13" t="s">
        <v>3</v>
      </c>
      <c r="B40" s="47"/>
      <c r="C40" s="36">
        <f>('[2]SPM poverty tables'!$E$2651-'[2]SPM poverty tables'!$E$2631)/1000</f>
        <v>305.04700000000003</v>
      </c>
      <c r="D40" s="37">
        <f t="shared" si="18"/>
        <v>0.25140435085035751</v>
      </c>
      <c r="E40" s="36">
        <f>('[3]SPM tables'!$E$2651-'[3]SPM tables'!$E$2631)/1000</f>
        <v>293.88200000000001</v>
      </c>
      <c r="F40" s="32">
        <f t="shared" si="18"/>
        <v>0.24220272101218751</v>
      </c>
      <c r="G40" s="28">
        <f t="shared" si="1"/>
        <v>-11.16500000000002</v>
      </c>
      <c r="H40" s="33">
        <f t="shared" si="16"/>
        <v>-0.92</v>
      </c>
      <c r="I40" s="26">
        <f t="shared" si="17"/>
        <v>-3.6600917235704723E-2</v>
      </c>
    </row>
    <row r="41" spans="1:9" x14ac:dyDescent="0.3">
      <c r="A41" s="13" t="s">
        <v>4</v>
      </c>
      <c r="B41" s="47"/>
      <c r="C41" s="36">
        <f>('[2]SPM poverty tables'!$F$2651-'[2]SPM poverty tables'!$F$2631)/1000</f>
        <v>486</v>
      </c>
      <c r="D41" s="37">
        <f t="shared" si="18"/>
        <v>0.4005366861935169</v>
      </c>
      <c r="E41" s="36">
        <f>('[3]SPM tables'!$F$2651-'[3]SPM tables'!$F$2631)/1000</f>
        <v>478.673</v>
      </c>
      <c r="F41" s="32">
        <f t="shared" si="18"/>
        <v>0.39449814236689157</v>
      </c>
      <c r="G41" s="28">
        <f t="shared" si="1"/>
        <v>-7.3269999999999982</v>
      </c>
      <c r="H41" s="33">
        <f t="shared" si="16"/>
        <v>-0.6</v>
      </c>
      <c r="I41" s="26">
        <f t="shared" si="17"/>
        <v>-1.5076131687242795E-2</v>
      </c>
    </row>
    <row r="42" spans="1:9" x14ac:dyDescent="0.3">
      <c r="A42" s="5" t="s">
        <v>29</v>
      </c>
      <c r="B42" s="47">
        <f>'[1]ATTIS Summary Tables'!$H$2631/1000</f>
        <v>874.05799999999999</v>
      </c>
      <c r="C42" s="36"/>
      <c r="D42" s="37"/>
      <c r="E42" s="36"/>
      <c r="F42" s="32"/>
      <c r="G42" s="28"/>
      <c r="H42" s="45"/>
      <c r="I42" s="26"/>
    </row>
    <row r="43" spans="1:9" x14ac:dyDescent="0.3">
      <c r="A43" s="13" t="s">
        <v>1</v>
      </c>
      <c r="B43" s="47"/>
      <c r="C43" s="36">
        <f>'[2]SPM poverty tables'!$C$2631/1000</f>
        <v>25.779</v>
      </c>
      <c r="D43" s="37">
        <f>C43/$B$42</f>
        <v>2.9493466108656406E-2</v>
      </c>
      <c r="E43" s="36">
        <f>'[3]SPM tables'!$C$2631/1000</f>
        <v>23.411000000000001</v>
      </c>
      <c r="F43" s="32">
        <f>E43/$B$42</f>
        <v>2.6784263744511237E-2</v>
      </c>
      <c r="G43" s="28">
        <f t="shared" si="1"/>
        <v>-2.3679999999999986</v>
      </c>
      <c r="H43" s="38">
        <f t="shared" ref="H43:H46" si="19">ROUND((F43-D43)*100,2)</f>
        <v>-0.27</v>
      </c>
      <c r="I43" s="32">
        <f t="shared" ref="I43:I46" si="20">(E43-C43)/C43</f>
        <v>-9.185771364288757E-2</v>
      </c>
    </row>
    <row r="44" spans="1:9" x14ac:dyDescent="0.3">
      <c r="A44" s="13" t="s">
        <v>2</v>
      </c>
      <c r="B44" s="47"/>
      <c r="C44" s="36">
        <f>'[2]SPM poverty tables'!$D$2631/1000</f>
        <v>165.648</v>
      </c>
      <c r="D44" s="37">
        <f t="shared" ref="D44:F46" si="21">C44/$B$42</f>
        <v>0.18951602754050645</v>
      </c>
      <c r="E44" s="36">
        <f>'[3]SPM tables'!$D$2631/1000</f>
        <v>149.60599999999999</v>
      </c>
      <c r="F44" s="32">
        <f t="shared" si="21"/>
        <v>0.17116255443002637</v>
      </c>
      <c r="G44" s="28">
        <f t="shared" si="1"/>
        <v>-16.042000000000002</v>
      </c>
      <c r="H44" s="38">
        <f t="shared" si="19"/>
        <v>-1.84</v>
      </c>
      <c r="I44" s="32">
        <f t="shared" si="20"/>
        <v>-9.6843909977784234E-2</v>
      </c>
    </row>
    <row r="45" spans="1:9" x14ac:dyDescent="0.3">
      <c r="A45" s="13" t="s">
        <v>3</v>
      </c>
      <c r="B45" s="47"/>
      <c r="C45" s="36">
        <f>'[2]SPM poverty tables'!$E$2631/1000</f>
        <v>418.18700000000001</v>
      </c>
      <c r="D45" s="37">
        <f t="shared" si="21"/>
        <v>0.47844307814813208</v>
      </c>
      <c r="E45" s="36">
        <f>'[3]SPM tables'!$E$2631/1000</f>
        <v>408.24599999999998</v>
      </c>
      <c r="F45" s="32">
        <f t="shared" si="21"/>
        <v>0.46706969102736889</v>
      </c>
      <c r="G45" s="28">
        <f t="shared" si="1"/>
        <v>-9.9410000000000309</v>
      </c>
      <c r="H45" s="38">
        <f t="shared" si="19"/>
        <v>-1.1399999999999999</v>
      </c>
      <c r="I45" s="32">
        <f t="shared" si="20"/>
        <v>-2.3771661959841005E-2</v>
      </c>
    </row>
    <row r="46" spans="1:9" ht="13.5" thickBot="1" x14ac:dyDescent="0.35">
      <c r="A46" s="16" t="s">
        <v>4</v>
      </c>
      <c r="B46" s="48"/>
      <c r="C46" s="39">
        <f>'[2]SPM poverty tables'!$F$2631/1000</f>
        <v>552.22</v>
      </c>
      <c r="D46" s="40">
        <f t="shared" si="21"/>
        <v>0.6317887371318609</v>
      </c>
      <c r="E46" s="39">
        <f>'[3]SPM tables'!$F$2631/1000</f>
        <v>550.06700000000001</v>
      </c>
      <c r="F46" s="41">
        <f t="shared" si="21"/>
        <v>0.6293255138675008</v>
      </c>
      <c r="G46" s="28">
        <f t="shared" si="1"/>
        <v>-2.15300000000002</v>
      </c>
      <c r="H46" s="43">
        <f t="shared" si="19"/>
        <v>-0.25</v>
      </c>
      <c r="I46" s="41">
        <f t="shared" si="20"/>
        <v>-3.8988084459092749E-3</v>
      </c>
    </row>
    <row r="47" spans="1:9" ht="15" customHeight="1" x14ac:dyDescent="0.3">
      <c r="A47" s="76" t="s">
        <v>86</v>
      </c>
      <c r="B47" s="76"/>
      <c r="C47" s="76"/>
      <c r="D47" s="76"/>
      <c r="E47" s="76"/>
      <c r="F47" s="76"/>
      <c r="G47" s="76"/>
      <c r="H47" s="76"/>
      <c r="I47" s="76"/>
    </row>
    <row r="48" spans="1:9" ht="27" customHeight="1" x14ac:dyDescent="0.3">
      <c r="A48" s="77" t="s">
        <v>92</v>
      </c>
      <c r="B48" s="77"/>
      <c r="C48" s="77"/>
      <c r="D48" s="77"/>
      <c r="E48" s="77"/>
      <c r="F48" s="77"/>
      <c r="G48" s="77"/>
      <c r="H48" s="77"/>
      <c r="I48" s="77"/>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heetViews>
  <sheetFormatPr defaultColWidth="9.1796875" defaultRowHeight="13" x14ac:dyDescent="0.3"/>
  <cols>
    <col min="1" max="1" width="66.453125" style="1" customWidth="1"/>
    <col min="2" max="2" width="24.81640625" style="17" customWidth="1"/>
    <col min="3" max="3" width="9.1796875" style="1" customWidth="1"/>
    <col min="4" max="4" width="9.1796875" style="1"/>
    <col min="5" max="5" width="9.1796875" style="1" customWidth="1"/>
    <col min="6" max="16384" width="9.1796875" style="1"/>
  </cols>
  <sheetData>
    <row r="1" spans="1:2" x14ac:dyDescent="0.3">
      <c r="A1" s="6" t="s">
        <v>82</v>
      </c>
    </row>
    <row r="2" spans="1:2" x14ac:dyDescent="0.3">
      <c r="A2" s="6" t="s">
        <v>140</v>
      </c>
    </row>
    <row r="3" spans="1:2" x14ac:dyDescent="0.3">
      <c r="A3" s="71" t="s">
        <v>145</v>
      </c>
    </row>
    <row r="4" spans="1:2" x14ac:dyDescent="0.3">
      <c r="A4" s="1" t="s">
        <v>113</v>
      </c>
    </row>
    <row r="5" spans="1:2" ht="63.75" customHeight="1" thickBot="1" x14ac:dyDescent="0.35">
      <c r="A5" s="3"/>
      <c r="B5" s="23" t="s">
        <v>136</v>
      </c>
    </row>
    <row r="6" spans="1:2" x14ac:dyDescent="0.3">
      <c r="A6" s="1" t="s">
        <v>81</v>
      </c>
      <c r="B6" s="9"/>
    </row>
    <row r="7" spans="1:2" x14ac:dyDescent="0.3">
      <c r="A7" s="12" t="s">
        <v>8</v>
      </c>
      <c r="B7" s="28">
        <f>+(B8+B10)</f>
        <v>7446.57</v>
      </c>
    </row>
    <row r="8" spans="1:2" x14ac:dyDescent="0.3">
      <c r="A8" s="12" t="s">
        <v>9</v>
      </c>
      <c r="B8" s="28">
        <f>(+'[4]hh count total'!$B$8+'[4]hh count total'!$B$9)/1000</f>
        <v>2081.886</v>
      </c>
    </row>
    <row r="9" spans="1:2" x14ac:dyDescent="0.3">
      <c r="A9" s="12" t="s">
        <v>10</v>
      </c>
      <c r="B9" s="28">
        <f>+('[4]hh count total'!$B$8)/1000</f>
        <v>781.66399999999999</v>
      </c>
    </row>
    <row r="10" spans="1:2" x14ac:dyDescent="0.3">
      <c r="A10" s="12" t="s">
        <v>11</v>
      </c>
      <c r="B10" s="28">
        <f>(+'[4]hh count total'!$B$10)/1000</f>
        <v>5364.6840000000002</v>
      </c>
    </row>
    <row r="11" spans="1:2" x14ac:dyDescent="0.3">
      <c r="A11" s="1" t="s">
        <v>31</v>
      </c>
    </row>
    <row r="12" spans="1:2" x14ac:dyDescent="0.3">
      <c r="A12" s="12" t="s">
        <v>32</v>
      </c>
      <c r="B12" s="17" t="s">
        <v>63</v>
      </c>
    </row>
    <row r="13" spans="1:2" x14ac:dyDescent="0.3">
      <c r="A13" s="5" t="s">
        <v>8</v>
      </c>
      <c r="B13" s="28">
        <f>'[3]CustomOutput (table 5)'!$D$13/1000</f>
        <v>1970.61</v>
      </c>
    </row>
    <row r="14" spans="1:2" x14ac:dyDescent="0.3">
      <c r="A14" s="5" t="s">
        <v>9</v>
      </c>
      <c r="B14" s="28">
        <f>'[3]CustomOutput (table 5)'!$D$14/1000</f>
        <v>1957.76</v>
      </c>
    </row>
    <row r="15" spans="1:2" x14ac:dyDescent="0.3">
      <c r="A15" s="5" t="s">
        <v>10</v>
      </c>
      <c r="B15" s="28">
        <f>'[3]CustomOutput (table 5)'!$D$15/1000</f>
        <v>777.18600000000004</v>
      </c>
    </row>
    <row r="16" spans="1:2" x14ac:dyDescent="0.3">
      <c r="A16" s="5" t="s">
        <v>11</v>
      </c>
      <c r="B16" s="28">
        <f>'[3]CustomOutput (table 5)'!$D$16/1000</f>
        <v>12.85</v>
      </c>
    </row>
    <row r="17" spans="1:2" x14ac:dyDescent="0.3">
      <c r="A17" s="12" t="s">
        <v>33</v>
      </c>
    </row>
    <row r="18" spans="1:2" x14ac:dyDescent="0.3">
      <c r="A18" s="5" t="s">
        <v>8</v>
      </c>
      <c r="B18" s="29">
        <f>IF(B13=0,"--",'[3]CustomOutput (table 5)'!$D$17/'[3]CustomOutput (table 5)'!$D$13)</f>
        <v>542.71012529115353</v>
      </c>
    </row>
    <row r="19" spans="1:2" x14ac:dyDescent="0.3">
      <c r="A19" s="5" t="s">
        <v>9</v>
      </c>
      <c r="B19" s="29">
        <f>IF(B14=0,"--",'[3]CustomOutput (table 5)'!$D$18/'[3]CustomOutput (table 5)'!$D$14)</f>
        <v>538.91181758744688</v>
      </c>
    </row>
    <row r="20" spans="1:2" x14ac:dyDescent="0.3">
      <c r="A20" s="5" t="s">
        <v>10</v>
      </c>
      <c r="B20" s="29">
        <f>IF(B15=0,"--",'[3]CustomOutput (table 5)'!$D$19/'[3]CustomOutput (table 5)'!$D$15)</f>
        <v>891.35805328454194</v>
      </c>
    </row>
    <row r="21" spans="1:2" x14ac:dyDescent="0.3">
      <c r="A21" s="5" t="s">
        <v>11</v>
      </c>
      <c r="B21" s="29">
        <f>IF(B16=0,"--",'[3]CustomOutput (table 5)'!$D$20/'[3]CustomOutput (table 5)'!$D$16)</f>
        <v>1121.5564202334631</v>
      </c>
    </row>
    <row r="22" spans="1:2" x14ac:dyDescent="0.3">
      <c r="A22" s="1" t="s">
        <v>35</v>
      </c>
    </row>
    <row r="23" spans="1:2" x14ac:dyDescent="0.3">
      <c r="A23" s="12" t="s">
        <v>36</v>
      </c>
    </row>
    <row r="24" spans="1:2" x14ac:dyDescent="0.3">
      <c r="A24" s="5" t="s">
        <v>8</v>
      </c>
      <c r="B24" s="28">
        <f>+(B25+B27)</f>
        <v>18.047000000000001</v>
      </c>
    </row>
    <row r="25" spans="1:2" x14ac:dyDescent="0.3">
      <c r="A25" s="5" t="s">
        <v>9</v>
      </c>
      <c r="B25" s="28">
        <f>('[3]CustomOutput (table 5)'!$D$22)/1000</f>
        <v>10.593999999999999</v>
      </c>
    </row>
    <row r="26" spans="1:2" x14ac:dyDescent="0.3">
      <c r="A26" s="5" t="s">
        <v>10</v>
      </c>
      <c r="B26" s="28">
        <f>'[3]CustomOutput (table 5)'!$D$23/1000</f>
        <v>1.423</v>
      </c>
    </row>
    <row r="27" spans="1:2" x14ac:dyDescent="0.3">
      <c r="A27" s="5" t="s">
        <v>11</v>
      </c>
      <c r="B27" s="69">
        <f>'[3]CustomOutput (table 5)'!$D$24/1000</f>
        <v>7.4530000000000003</v>
      </c>
    </row>
    <row r="28" spans="1:2" x14ac:dyDescent="0.3">
      <c r="A28" s="12" t="s">
        <v>34</v>
      </c>
    </row>
    <row r="29" spans="1:2" x14ac:dyDescent="0.3">
      <c r="A29" s="5" t="s">
        <v>8</v>
      </c>
      <c r="B29" s="29">
        <f>IF(B24=0,"--",'[3]CustomOutput (table 5)'!$D$25/'[3]CustomOutput (table 5)'!$D$21)</f>
        <v>-145.97772482961156</v>
      </c>
    </row>
    <row r="30" spans="1:2" x14ac:dyDescent="0.3">
      <c r="A30" s="5" t="s">
        <v>9</v>
      </c>
      <c r="B30" s="29">
        <f>IF(B25=0,"--",'[3]CustomOutput (table 5)'!$D$26/'[3]CustomOutput (table 5)'!$D$22)</f>
        <v>-238.04795167075704</v>
      </c>
    </row>
    <row r="31" spans="1:2" x14ac:dyDescent="0.3">
      <c r="A31" s="5" t="s">
        <v>10</v>
      </c>
      <c r="B31" s="29">
        <f>IF(B26=0,"--",'[3]CustomOutput (table 5)'!$D$27/'[3]CustomOutput (table 5)'!$D$23)</f>
        <v>-522.07378777231202</v>
      </c>
    </row>
    <row r="32" spans="1:2" ht="13.5" thickBot="1" x14ac:dyDescent="0.35">
      <c r="A32" s="14" t="s">
        <v>11</v>
      </c>
      <c r="B32" s="29">
        <f>IF(B27=0,"--",'[3]CustomOutput (table 5)'!$D$28/'[3]CustomOutput (table 5)'!$D$24)</f>
        <v>-15.104790017442641</v>
      </c>
    </row>
    <row r="33" spans="1:5" ht="28.5" customHeight="1" x14ac:dyDescent="0.3">
      <c r="A33" s="76" t="s">
        <v>86</v>
      </c>
      <c r="B33" s="76"/>
    </row>
    <row r="34" spans="1:5" ht="40.5" customHeight="1" x14ac:dyDescent="0.3">
      <c r="A34" s="75" t="s">
        <v>121</v>
      </c>
      <c r="B34" s="75"/>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sheetPr>
    <tabColor theme="2" tint="-0.499984740745262"/>
  </sheetPr>
  <dimension ref="A1:E21"/>
  <sheetViews>
    <sheetView workbookViewId="0"/>
  </sheetViews>
  <sheetFormatPr defaultColWidth="9.1796875" defaultRowHeight="13" x14ac:dyDescent="0.3"/>
  <cols>
    <col min="1" max="1" width="50.36328125" style="1" customWidth="1"/>
    <col min="2" max="2" width="12.453125" style="17" customWidth="1"/>
    <col min="3" max="4" width="14.6328125" style="17" customWidth="1"/>
    <col min="5" max="16384" width="9.1796875" style="1"/>
  </cols>
  <sheetData>
    <row r="1" spans="1:4" x14ac:dyDescent="0.3">
      <c r="A1" s="6" t="s">
        <v>83</v>
      </c>
      <c r="B1" s="25"/>
    </row>
    <row r="2" spans="1:4" x14ac:dyDescent="0.3">
      <c r="A2" s="6" t="s">
        <v>141</v>
      </c>
      <c r="B2" s="25"/>
    </row>
    <row r="3" spans="1:4" x14ac:dyDescent="0.3">
      <c r="A3" s="71" t="s">
        <v>145</v>
      </c>
      <c r="B3" s="25"/>
    </row>
    <row r="4" spans="1:4" x14ac:dyDescent="0.3">
      <c r="A4" s="1" t="s">
        <v>124</v>
      </c>
    </row>
    <row r="5" spans="1:4" ht="39.5" thickBot="1" x14ac:dyDescent="0.35">
      <c r="A5" s="3"/>
      <c r="B5" s="23" t="s">
        <v>0</v>
      </c>
      <c r="C5" s="23" t="s">
        <v>73</v>
      </c>
      <c r="D5" s="23" t="s">
        <v>77</v>
      </c>
    </row>
    <row r="6" spans="1:4" ht="14.5" x14ac:dyDescent="0.3">
      <c r="A6" s="1" t="s">
        <v>122</v>
      </c>
    </row>
    <row r="7" spans="1:4" x14ac:dyDescent="0.3">
      <c r="A7" s="12" t="s">
        <v>13</v>
      </c>
      <c r="B7" s="28">
        <f>+'[4]emp by hh cat'!$B$11/1000</f>
        <v>10245.791999999999</v>
      </c>
    </row>
    <row r="8" spans="1:4" x14ac:dyDescent="0.3">
      <c r="A8" s="12" t="s">
        <v>14</v>
      </c>
      <c r="B8" s="28"/>
    </row>
    <row r="9" spans="1:4" x14ac:dyDescent="0.3">
      <c r="A9" s="12" t="s">
        <v>15</v>
      </c>
    </row>
    <row r="10" spans="1:4" x14ac:dyDescent="0.3">
      <c r="A10" s="12" t="s">
        <v>16</v>
      </c>
    </row>
    <row r="11" spans="1:4" x14ac:dyDescent="0.3">
      <c r="A11" s="1" t="s">
        <v>12</v>
      </c>
    </row>
    <row r="12" spans="1:4" x14ac:dyDescent="0.3">
      <c r="A12" s="12" t="s">
        <v>13</v>
      </c>
      <c r="B12" s="66" t="s">
        <v>39</v>
      </c>
    </row>
    <row r="13" spans="1:4" x14ac:dyDescent="0.3">
      <c r="A13" s="12" t="s">
        <v>14</v>
      </c>
      <c r="B13" s="66" t="s">
        <v>39</v>
      </c>
    </row>
    <row r="14" spans="1:4" x14ac:dyDescent="0.3">
      <c r="A14" s="12" t="s">
        <v>15</v>
      </c>
      <c r="B14" s="66" t="s">
        <v>39</v>
      </c>
    </row>
    <row r="15" spans="1:4" x14ac:dyDescent="0.3">
      <c r="A15" s="12" t="s">
        <v>16</v>
      </c>
      <c r="B15" s="66" t="s">
        <v>39</v>
      </c>
    </row>
    <row r="16" spans="1:4" x14ac:dyDescent="0.3">
      <c r="A16" s="1" t="s">
        <v>17</v>
      </c>
    </row>
    <row r="17" spans="1:5" x14ac:dyDescent="0.3">
      <c r="A17" s="12" t="s">
        <v>14</v>
      </c>
      <c r="B17" s="66" t="s">
        <v>39</v>
      </c>
    </row>
    <row r="18" spans="1:5" x14ac:dyDescent="0.3">
      <c r="A18" s="12" t="s">
        <v>15</v>
      </c>
      <c r="B18" s="66" t="s">
        <v>39</v>
      </c>
    </row>
    <row r="19" spans="1:5" ht="13.5" thickBot="1" x14ac:dyDescent="0.35">
      <c r="A19" s="22" t="s">
        <v>16</v>
      </c>
      <c r="B19" s="67" t="s">
        <v>39</v>
      </c>
      <c r="C19" s="61"/>
      <c r="D19" s="61"/>
    </row>
    <row r="20" spans="1:5" ht="28.5" customHeight="1" x14ac:dyDescent="0.3">
      <c r="A20" s="76" t="s">
        <v>86</v>
      </c>
      <c r="B20" s="76"/>
      <c r="C20" s="76"/>
      <c r="D20" s="76"/>
    </row>
    <row r="21" spans="1:5" x14ac:dyDescent="0.3">
      <c r="A21" s="75" t="s">
        <v>123</v>
      </c>
      <c r="B21" s="75"/>
      <c r="C21" s="75"/>
      <c r="D21" s="75"/>
      <c r="E21" s="75"/>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zoomScaleNormal="100" workbookViewId="0"/>
  </sheetViews>
  <sheetFormatPr defaultColWidth="9.1796875" defaultRowHeight="13" x14ac:dyDescent="0.3"/>
  <cols>
    <col min="1" max="1" width="56.81640625" style="1" customWidth="1"/>
    <col min="2" max="3" width="12.6328125" style="17" customWidth="1"/>
    <col min="4" max="4" width="13.1796875" style="17" customWidth="1"/>
    <col min="5" max="5" width="14" style="17" customWidth="1"/>
    <col min="6" max="7" width="9.1796875" style="1"/>
    <col min="8" max="8" width="9.81640625" style="1" bestFit="1" customWidth="1"/>
    <col min="9" max="16384" width="9.1796875" style="1"/>
  </cols>
  <sheetData>
    <row r="1" spans="1:7" x14ac:dyDescent="0.3">
      <c r="A1" s="6" t="s">
        <v>84</v>
      </c>
      <c r="B1" s="25"/>
      <c r="C1" s="25"/>
      <c r="D1" s="25"/>
      <c r="E1" s="25"/>
      <c r="F1" s="1" t="s">
        <v>63</v>
      </c>
    </row>
    <row r="2" spans="1:7" x14ac:dyDescent="0.3">
      <c r="A2" s="6" t="s">
        <v>142</v>
      </c>
      <c r="B2" s="25"/>
      <c r="C2" s="25"/>
      <c r="D2" s="25"/>
      <c r="E2" s="25"/>
    </row>
    <row r="3" spans="1:7" x14ac:dyDescent="0.3">
      <c r="A3" s="71" t="s">
        <v>145</v>
      </c>
      <c r="B3" s="25"/>
      <c r="C3" s="25"/>
      <c r="D3" s="25"/>
      <c r="E3" s="25"/>
    </row>
    <row r="4" spans="1:7" x14ac:dyDescent="0.3">
      <c r="A4" s="1" t="s">
        <v>114</v>
      </c>
      <c r="B4" s="17" t="s">
        <v>63</v>
      </c>
    </row>
    <row r="5" spans="1:7" ht="44.25" customHeight="1" thickBot="1" x14ac:dyDescent="0.35">
      <c r="C5" s="79" t="s">
        <v>136</v>
      </c>
      <c r="D5" s="79"/>
      <c r="E5" s="79"/>
    </row>
    <row r="6" spans="1:7" ht="41" thickBot="1" x14ac:dyDescent="0.35">
      <c r="A6" s="3"/>
      <c r="B6" s="23" t="s">
        <v>130</v>
      </c>
      <c r="C6" s="23" t="s">
        <v>131</v>
      </c>
      <c r="D6" s="23" t="s">
        <v>73</v>
      </c>
      <c r="E6" s="23" t="s">
        <v>77</v>
      </c>
    </row>
    <row r="7" spans="1:7" x14ac:dyDescent="0.3">
      <c r="A7" s="1" t="s">
        <v>40</v>
      </c>
      <c r="B7" s="26"/>
      <c r="C7" s="26"/>
      <c r="D7" s="26"/>
    </row>
    <row r="8" spans="1:7" x14ac:dyDescent="0.3">
      <c r="A8" s="12" t="s">
        <v>41</v>
      </c>
      <c r="B8" s="27">
        <f>'[2]key results (script)'!$B$303/1000</f>
        <v>376.85700000000003</v>
      </c>
      <c r="C8" s="27">
        <f>'[3]Script (key results)'!$B$303/1000</f>
        <v>376.85700000000003</v>
      </c>
      <c r="D8" s="28">
        <f>C8-B8</f>
        <v>0</v>
      </c>
      <c r="E8" s="26">
        <f>(C8-B8)/B8</f>
        <v>0</v>
      </c>
    </row>
    <row r="9" spans="1:7" x14ac:dyDescent="0.3">
      <c r="A9" s="12" t="s">
        <v>42</v>
      </c>
      <c r="B9" s="29">
        <f>'[2]key results (script)'!$B$304/1000000</f>
        <v>1904.9406719999999</v>
      </c>
      <c r="C9" s="29">
        <f>'[3]Script (key results)'!$B$304/1000000</f>
        <v>1904.9406719999999</v>
      </c>
      <c r="D9" s="29">
        <f>C9-B9</f>
        <v>0</v>
      </c>
      <c r="E9" s="26">
        <f>(C9-B9)/B9</f>
        <v>0</v>
      </c>
    </row>
    <row r="10" spans="1:7" x14ac:dyDescent="0.3">
      <c r="A10" s="4"/>
      <c r="G10" s="62"/>
    </row>
    <row r="11" spans="1:7" ht="14.5" x14ac:dyDescent="0.3">
      <c r="A11" s="1" t="s">
        <v>110</v>
      </c>
    </row>
    <row r="12" spans="1:7" x14ac:dyDescent="0.3">
      <c r="A12" s="12" t="s">
        <v>108</v>
      </c>
      <c r="B12" s="28">
        <f>+('[2]key results (script)'!$B$271+'[2]key results (script)'!$B$267)/1000</f>
        <v>601.52200000000005</v>
      </c>
      <c r="C12" s="28">
        <f>+('[3]Script (key results)'!$B$271+'[3]Script (key results)'!$B$267)/1000</f>
        <v>601.52200000000005</v>
      </c>
      <c r="D12" s="28">
        <f>C12-B12</f>
        <v>0</v>
      </c>
      <c r="E12" s="26">
        <f>(C12-B12)/B12</f>
        <v>0</v>
      </c>
    </row>
    <row r="13" spans="1:7" x14ac:dyDescent="0.3">
      <c r="A13" s="12" t="s">
        <v>109</v>
      </c>
      <c r="B13" s="29">
        <f>+('[2]key results (script)'!$B$266+'[2]key results (script)'!$B$268)/1000000</f>
        <v>4160.5646079999997</v>
      </c>
      <c r="C13" s="29">
        <f>+('[3]Script (key results)'!$B$266+'[3]Script (key results)'!$B$268)/1000000</f>
        <v>4160.5646079999997</v>
      </c>
      <c r="D13" s="29">
        <f>C13-B13</f>
        <v>0</v>
      </c>
      <c r="E13" s="26">
        <f>(C13-B13)/B13</f>
        <v>0</v>
      </c>
      <c r="F13" s="10"/>
    </row>
    <row r="14" spans="1:7" x14ac:dyDescent="0.3">
      <c r="A14" s="4"/>
    </row>
    <row r="15" spans="1:7" ht="26" x14ac:dyDescent="0.3">
      <c r="A15" s="11" t="s">
        <v>43</v>
      </c>
    </row>
    <row r="16" spans="1:7" x14ac:dyDescent="0.3">
      <c r="A16" s="12" t="s">
        <v>44</v>
      </c>
      <c r="B16" s="28">
        <f>SUM('[2]key results (script)'!$B$296,'[2]key results (script)'!$B$298)/1000</f>
        <v>120.907</v>
      </c>
      <c r="C16" s="28">
        <f>SUM('[3]Script (key results)'!$B$296,'[3]Script (key results)'!$B$298)/1000</f>
        <v>142.03800000000001</v>
      </c>
      <c r="D16" s="28">
        <f>C16-B16</f>
        <v>21.131000000000014</v>
      </c>
      <c r="E16" s="26">
        <f>(C16-B16)/B16</f>
        <v>0.17477069152323699</v>
      </c>
      <c r="F16" s="10"/>
    </row>
    <row r="17" spans="1:6" x14ac:dyDescent="0.3">
      <c r="A17" s="12" t="s">
        <v>45</v>
      </c>
      <c r="B17" s="29">
        <f>'[2]key results (script)'!$B$297/1000000</f>
        <v>816.16134399999999</v>
      </c>
      <c r="C17" s="29">
        <f>'[3]Script (key results)'!$B$297/1000000</f>
        <v>949.58617600000002</v>
      </c>
      <c r="D17" s="29">
        <f>C17-B17</f>
        <v>133.42483200000004</v>
      </c>
      <c r="E17" s="26">
        <f>(C17-B17)/B17</f>
        <v>0.16347849966292943</v>
      </c>
    </row>
    <row r="18" spans="1:6" x14ac:dyDescent="0.3">
      <c r="A18" s="4"/>
    </row>
    <row r="19" spans="1:6" x14ac:dyDescent="0.3">
      <c r="A19" s="1" t="s">
        <v>46</v>
      </c>
    </row>
    <row r="20" spans="1:6" x14ac:dyDescent="0.3">
      <c r="A20" s="12" t="s">
        <v>47</v>
      </c>
      <c r="B20" s="28">
        <f>'[2]key results (script)'!$B$52/1000</f>
        <v>107.706</v>
      </c>
      <c r="C20" s="28">
        <f>'[3]Script (key results)'!$B$52/1000</f>
        <v>111.40300000000001</v>
      </c>
      <c r="D20" s="28">
        <f>C20-B20</f>
        <v>3.6970000000000027</v>
      </c>
      <c r="E20" s="26">
        <f>(C20-B20)/B20</f>
        <v>3.4324921545689217E-2</v>
      </c>
    </row>
    <row r="21" spans="1:6" x14ac:dyDescent="0.3">
      <c r="A21" s="12" t="s">
        <v>42</v>
      </c>
      <c r="B21" s="29">
        <f>'[2]key results (script)'!$B$54/1000000</f>
        <v>513.85062400000004</v>
      </c>
      <c r="C21" s="29">
        <f>'[3]Script (key results)'!$B$54/1000000</f>
        <v>534.47625600000003</v>
      </c>
      <c r="D21" s="29">
        <f>C21-B21</f>
        <v>20.625631999999996</v>
      </c>
      <c r="E21" s="26">
        <f>(C21-B21)/B21</f>
        <v>4.0139353805669395E-2</v>
      </c>
      <c r="F21" s="10"/>
    </row>
    <row r="22" spans="1:6" x14ac:dyDescent="0.3">
      <c r="A22" s="4"/>
    </row>
    <row r="23" spans="1:6" x14ac:dyDescent="0.3">
      <c r="A23" s="1" t="s">
        <v>48</v>
      </c>
    </row>
    <row r="24" spans="1:6" x14ac:dyDescent="0.3">
      <c r="A24" s="12" t="s">
        <v>49</v>
      </c>
      <c r="B24" s="28">
        <f>'[2]key results (script)'!$B$15/1000</f>
        <v>105.837</v>
      </c>
      <c r="C24" s="28">
        <f>'[3]Script (key results)'!$B$15/1000</f>
        <v>230.76300000000001</v>
      </c>
      <c r="D24" s="28">
        <f>C24-B24</f>
        <v>124.926</v>
      </c>
      <c r="E24" s="26">
        <f>(C24-B24)/B24</f>
        <v>1.1803622551659627</v>
      </c>
      <c r="F24" s="10"/>
    </row>
    <row r="25" spans="1:6" x14ac:dyDescent="0.3">
      <c r="A25" s="12" t="s">
        <v>103</v>
      </c>
      <c r="B25" s="29">
        <f>'[2]key results (script)'!$B$13</f>
        <v>600.45000000000005</v>
      </c>
      <c r="C25" s="29">
        <f>'[3]Script (key results)'!$B$13</f>
        <v>1650.05</v>
      </c>
      <c r="D25" s="29">
        <f>C25-B25</f>
        <v>1049.5999999999999</v>
      </c>
      <c r="E25" s="26">
        <f>(C25-B25)/B25</f>
        <v>1.7480223165958861</v>
      </c>
    </row>
    <row r="26" spans="1:6" x14ac:dyDescent="0.3">
      <c r="A26" s="4"/>
    </row>
    <row r="27" spans="1:6" x14ac:dyDescent="0.3">
      <c r="A27" s="1" t="s">
        <v>50</v>
      </c>
    </row>
    <row r="28" spans="1:6" x14ac:dyDescent="0.3">
      <c r="A28" s="12" t="s">
        <v>51</v>
      </c>
      <c r="B28" s="28">
        <f>'[2]key results (script)'!$B$56/1000</f>
        <v>546.678</v>
      </c>
      <c r="C28" s="28">
        <f>'[3]Script (key results)'!$B$56/1000</f>
        <v>546.47400000000005</v>
      </c>
      <c r="D28" s="28">
        <f>C28-B28</f>
        <v>-0.20399999999995089</v>
      </c>
      <c r="E28" s="26">
        <f>(C28-B28)/B28</f>
        <v>-3.73162995401225E-4</v>
      </c>
    </row>
    <row r="29" spans="1:6" ht="14.5" x14ac:dyDescent="0.3">
      <c r="A29" s="12" t="s">
        <v>91</v>
      </c>
      <c r="B29" s="29">
        <f>'[2]key results (script)'!$B$60/1000000</f>
        <v>7302.6063359999998</v>
      </c>
      <c r="C29" s="29">
        <f>'[3]Script (key results)'!$B$60/1000000</f>
        <v>7283.7176319999999</v>
      </c>
      <c r="D29" s="29">
        <f>C29-B29</f>
        <v>-18.888703999999962</v>
      </c>
      <c r="E29" s="26">
        <f>(C29-B29)/B29</f>
        <v>-2.586570209444734E-3</v>
      </c>
      <c r="F29" s="10"/>
    </row>
    <row r="30" spans="1:6" x14ac:dyDescent="0.3">
      <c r="A30" s="4"/>
    </row>
    <row r="31" spans="1:6" x14ac:dyDescent="0.3">
      <c r="A31" s="1" t="s">
        <v>52</v>
      </c>
    </row>
    <row r="32" spans="1:6" x14ac:dyDescent="0.3">
      <c r="A32" s="12" t="s">
        <v>47</v>
      </c>
      <c r="B32" s="28">
        <f>'[2]key results (script)'!$B$87/1000</f>
        <v>1427.085</v>
      </c>
      <c r="C32" s="28">
        <f>'[3]Script (key results)'!$B$87/1000</f>
        <v>1426.2180000000001</v>
      </c>
      <c r="D32" s="28">
        <f>C32-B32</f>
        <v>-0.8669999999999618</v>
      </c>
      <c r="E32" s="26">
        <f>(C32-B32)/B32</f>
        <v>-6.0753213718871811E-4</v>
      </c>
      <c r="F32" s="10"/>
    </row>
    <row r="33" spans="1:8" x14ac:dyDescent="0.3">
      <c r="A33" s="12" t="s">
        <v>42</v>
      </c>
      <c r="B33" s="29">
        <f>'[2]key results (script)'!$B$88/1000000</f>
        <v>3750.4473600000001</v>
      </c>
      <c r="C33" s="29">
        <f>'[3]Script (key results)'!$B$88/1000000</f>
        <v>3702.6040320000002</v>
      </c>
      <c r="D33" s="29">
        <f>C33-B33</f>
        <v>-47.843327999999929</v>
      </c>
      <c r="E33" s="26">
        <f>(C33-B33)/B33</f>
        <v>-1.2756698976838839E-2</v>
      </c>
      <c r="F33" s="10"/>
    </row>
    <row r="34" spans="1:8" x14ac:dyDescent="0.3">
      <c r="A34" s="4"/>
    </row>
    <row r="35" spans="1:8" ht="27.5" x14ac:dyDescent="0.3">
      <c r="A35" s="11" t="s">
        <v>126</v>
      </c>
    </row>
    <row r="36" spans="1:8" x14ac:dyDescent="0.3">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3">
      <c r="A37" s="12" t="s">
        <v>127</v>
      </c>
      <c r="B37" s="29">
        <f>'[2]key results (script)'!$B$311/1000000</f>
        <v>352.02771200000001</v>
      </c>
      <c r="C37" s="29">
        <f>'[3]Script (key results)'!$B$311/1000000</f>
        <v>352.02771200000001</v>
      </c>
      <c r="D37" s="29">
        <f>C37-B37</f>
        <v>0</v>
      </c>
      <c r="E37" s="26">
        <f>(C37-B37)/B37</f>
        <v>0</v>
      </c>
      <c r="F37" s="10"/>
    </row>
    <row r="38" spans="1:8" x14ac:dyDescent="0.3">
      <c r="A38" s="4"/>
    </row>
    <row r="39" spans="1:8" x14ac:dyDescent="0.3">
      <c r="A39" s="1" t="s">
        <v>53</v>
      </c>
    </row>
    <row r="40" spans="1:8" x14ac:dyDescent="0.3">
      <c r="A40" s="12" t="s">
        <v>54</v>
      </c>
      <c r="B40" s="28">
        <f>'[2]key results (script)'!$B$70/1000</f>
        <v>1469.15</v>
      </c>
      <c r="C40" s="28">
        <f>'[3]Script (key results)'!$B$70/1000</f>
        <v>1469.48</v>
      </c>
      <c r="D40" s="28">
        <f>C40-B40</f>
        <v>0.32999999999992724</v>
      </c>
      <c r="E40" s="26">
        <f>(C40-B40)/B40</f>
        <v>2.2461967804507859E-4</v>
      </c>
      <c r="G40" s="19"/>
    </row>
    <row r="41" spans="1:8" ht="14.5" x14ac:dyDescent="0.3">
      <c r="A41" s="12" t="s">
        <v>111</v>
      </c>
      <c r="B41" s="29">
        <f>'[2]key results (script)'!$B$71/1000000</f>
        <v>226.94731200000001</v>
      </c>
      <c r="C41" s="29">
        <f>'[3]Script (key results)'!$B$71/1000000</f>
        <v>226.95886400000001</v>
      </c>
      <c r="D41" s="29">
        <f>C41-B41</f>
        <v>1.1551999999994678E-2</v>
      </c>
      <c r="E41" s="26">
        <f>(C41-B41)/B41</f>
        <v>5.0901682413381818E-5</v>
      </c>
      <c r="G41" s="19"/>
    </row>
    <row r="42" spans="1:8" x14ac:dyDescent="0.3">
      <c r="A42" s="4"/>
      <c r="G42" s="20"/>
    </row>
    <row r="43" spans="1:8" x14ac:dyDescent="0.3">
      <c r="A43" s="1" t="s">
        <v>104</v>
      </c>
    </row>
    <row r="44" spans="1:8" x14ac:dyDescent="0.3">
      <c r="A44" s="12" t="s">
        <v>105</v>
      </c>
      <c r="B44" s="29">
        <f>(+'[2]key results (script)'!$B$276+'[2]key results (script)'!$B$277)/1000000</f>
        <v>35898.250240000001</v>
      </c>
      <c r="C44" s="29">
        <f>+(('[3]Script (key results)'!$B$276+'[3]Script (key results)'!$B$277)/1000000)-([3]ESCC!$D$8/1000000)</f>
        <v>35126.259482999994</v>
      </c>
      <c r="D44" s="29">
        <f t="shared" ref="D44" si="0">C44-B44</f>
        <v>-771.99075700000685</v>
      </c>
      <c r="E44" s="26">
        <f t="shared" ref="E44:E50" si="1">(C44-B44)/B44</f>
        <v>-2.1504968956392423E-2</v>
      </c>
    </row>
    <row r="45" spans="1:8" x14ac:dyDescent="0.3">
      <c r="A45" s="12" t="s">
        <v>87</v>
      </c>
      <c r="E45" s="26"/>
      <c r="F45" s="10"/>
      <c r="G45" s="21"/>
      <c r="H45" s="62"/>
    </row>
    <row r="46" spans="1:8" x14ac:dyDescent="0.3">
      <c r="A46" s="5" t="s">
        <v>89</v>
      </c>
      <c r="B46" s="28">
        <f>+'[2]key results (script)'!$B$278/1000</f>
        <v>1008.817</v>
      </c>
      <c r="C46" s="28">
        <f>'[3]Script (key results)'!$B$278/1000</f>
        <v>1008.817</v>
      </c>
      <c r="D46" s="28">
        <f>C46-B46</f>
        <v>0</v>
      </c>
      <c r="E46" s="26">
        <f t="shared" si="1"/>
        <v>0</v>
      </c>
      <c r="G46" s="21"/>
      <c r="H46" s="62"/>
    </row>
    <row r="47" spans="1:8" x14ac:dyDescent="0.3">
      <c r="A47" s="5" t="s">
        <v>90</v>
      </c>
      <c r="B47" s="29">
        <f>+(('[2]key results (script)'!$B$278)*'[2]key results (script)'!$B$279)/1000000</f>
        <v>624.45772299999999</v>
      </c>
      <c r="C47" s="29">
        <f>+('[3]Script (key results)'!$B$278*'[3]Script (key results)'!$B$279)/1000000</f>
        <v>624.45772299999999</v>
      </c>
      <c r="D47" s="29">
        <f>C47-B47</f>
        <v>0</v>
      </c>
      <c r="E47" s="26">
        <f t="shared" si="1"/>
        <v>0</v>
      </c>
      <c r="G47" s="20"/>
    </row>
    <row r="48" spans="1:8" x14ac:dyDescent="0.3">
      <c r="A48" s="12" t="s">
        <v>144</v>
      </c>
      <c r="B48" s="29"/>
      <c r="C48" s="29"/>
      <c r="D48" s="29"/>
      <c r="E48" s="26"/>
      <c r="F48" s="10"/>
    </row>
    <row r="49" spans="1:6" x14ac:dyDescent="0.3">
      <c r="A49" s="5" t="s">
        <v>89</v>
      </c>
      <c r="B49" s="28">
        <f>+[2]ESCC!$B$8/1000</f>
        <v>1687.5719999999999</v>
      </c>
      <c r="C49" s="28">
        <f>+[3]ESCC!$B$8/1000</f>
        <v>2021.9069999999999</v>
      </c>
      <c r="D49" s="28">
        <f>C49-B49</f>
        <v>334.33500000000004</v>
      </c>
      <c r="E49" s="26">
        <f t="shared" si="1"/>
        <v>0.19811599149547401</v>
      </c>
      <c r="F49" s="10"/>
    </row>
    <row r="50" spans="1:6" x14ac:dyDescent="0.3">
      <c r="A50" s="5" t="s">
        <v>90</v>
      </c>
      <c r="B50" s="29">
        <f>+[2]ESCC!$C$8/1000000</f>
        <v>1018.078381</v>
      </c>
      <c r="C50" s="29">
        <f>+([3]ESCC!$C$8+[3]ESCC!$D$8)/1000000</f>
        <v>1825.671652</v>
      </c>
      <c r="D50" s="29">
        <f>C50-B50</f>
        <v>807.59327099999996</v>
      </c>
      <c r="E50" s="26">
        <f t="shared" si="1"/>
        <v>0.79325254918658361</v>
      </c>
      <c r="F50" s="10"/>
    </row>
    <row r="51" spans="1:6" x14ac:dyDescent="0.3">
      <c r="A51" s="12" t="s">
        <v>88</v>
      </c>
      <c r="B51" s="29"/>
      <c r="C51" s="29"/>
      <c r="D51" s="29"/>
      <c r="E51" s="26"/>
      <c r="F51" s="10"/>
    </row>
    <row r="52" spans="1:6" x14ac:dyDescent="0.3">
      <c r="A52" s="5" t="s">
        <v>89</v>
      </c>
      <c r="B52" s="28">
        <f>+'[2]key results (script)'!$B$280/1000</f>
        <v>447.94299999999998</v>
      </c>
      <c r="C52" s="28">
        <f>'[3]Script (key results)'!$B$280/1000</f>
        <v>483.28699999999998</v>
      </c>
      <c r="D52" s="28">
        <f>C52-B52</f>
        <v>35.343999999999994</v>
      </c>
      <c r="E52" s="26">
        <f>(C52-B52)/B52</f>
        <v>7.8902896127409056E-2</v>
      </c>
      <c r="F52" s="10"/>
    </row>
    <row r="53" spans="1:6" x14ac:dyDescent="0.3">
      <c r="A53" s="5" t="s">
        <v>90</v>
      </c>
      <c r="B53" s="29">
        <f>+('[2]key results (script)'!$B$280*'[2]key results (script)'!$B$281)/1000000</f>
        <v>222.17972800000001</v>
      </c>
      <c r="C53" s="29">
        <f>+('[3]Script (key results)'!$B$280*'[3]Script (key results)'!$B$281)/1000000</f>
        <v>186.54878199999999</v>
      </c>
      <c r="D53" s="29">
        <f>C53-B53</f>
        <v>-35.630946000000023</v>
      </c>
      <c r="E53" s="26">
        <f>(C53-B53)/B53</f>
        <v>-0.16036992357826643</v>
      </c>
      <c r="F53" s="10"/>
    </row>
    <row r="54" spans="1:6" x14ac:dyDescent="0.3">
      <c r="A54" s="12" t="s">
        <v>97</v>
      </c>
      <c r="E54" s="26"/>
      <c r="F54" s="10"/>
    </row>
    <row r="55" spans="1:6" x14ac:dyDescent="0.3">
      <c r="A55" s="5" t="s">
        <v>89</v>
      </c>
      <c r="B55" s="17">
        <v>0</v>
      </c>
      <c r="C55" s="17">
        <v>0</v>
      </c>
      <c r="D55" s="28">
        <f>C55-B55</f>
        <v>0</v>
      </c>
      <c r="E55" s="26" t="str">
        <f>IF(B55-C55&lt;&gt;0,(C55-B55)/B55,"--")</f>
        <v>--</v>
      </c>
      <c r="F55" s="10"/>
    </row>
    <row r="56" spans="1:6" x14ac:dyDescent="0.3">
      <c r="A56" s="5" t="s">
        <v>90</v>
      </c>
      <c r="B56" s="17">
        <v>0</v>
      </c>
      <c r="C56" s="17">
        <v>0</v>
      </c>
      <c r="D56" s="28">
        <f>C56-B56</f>
        <v>0</v>
      </c>
      <c r="E56" s="26" t="str">
        <f>IF(B56-C56&lt;&gt;0,(C56-B56)/B56,"--")</f>
        <v>--</v>
      </c>
      <c r="F56" s="10"/>
    </row>
    <row r="57" spans="1:6" x14ac:dyDescent="0.3">
      <c r="A57" s="5"/>
      <c r="D57" s="28"/>
      <c r="E57" s="26"/>
      <c r="F57" s="10"/>
    </row>
    <row r="58" spans="1:6" x14ac:dyDescent="0.3">
      <c r="A58" s="1" t="s">
        <v>106</v>
      </c>
      <c r="D58" s="28"/>
      <c r="E58" s="26"/>
      <c r="F58" s="10"/>
    </row>
    <row r="59" spans="1:6" x14ac:dyDescent="0.3">
      <c r="A59" s="12" t="s">
        <v>107</v>
      </c>
      <c r="B59" s="29">
        <f>+('[2]key results (script)'!$B$22+'[2]key results (script)'!$B$23)/1000000</f>
        <v>10771.293326000001</v>
      </c>
      <c r="C59" s="29">
        <f>+('[3]Script (key results)'!$B$22+'[3]Script (key results)'!$B$23)/1000000</f>
        <v>10771.749558</v>
      </c>
      <c r="D59" s="65">
        <f>C59-B59</f>
        <v>0.45623199999863573</v>
      </c>
      <c r="E59" s="26">
        <f t="shared" ref="E59" si="2">(C59-B59)/B59</f>
        <v>4.2356287791120889E-5</v>
      </c>
      <c r="F59" s="10"/>
    </row>
    <row r="60" spans="1:6" x14ac:dyDescent="0.3">
      <c r="A60" s="12"/>
      <c r="B60" s="29"/>
      <c r="C60" s="29"/>
      <c r="D60" s="29"/>
      <c r="E60" s="26"/>
      <c r="F60" s="10"/>
    </row>
    <row r="61" spans="1:6" x14ac:dyDescent="0.3">
      <c r="A61" s="1" t="s">
        <v>116</v>
      </c>
      <c r="F61" s="10"/>
    </row>
    <row r="62" spans="1:6" ht="14.5" x14ac:dyDescent="0.3">
      <c r="A62" s="12" t="s">
        <v>118</v>
      </c>
      <c r="B62" s="29">
        <f>+'[2]key results (script)'!$B$73+'[2]key results (script)'!$B$74+'[2]key results (script)'!$B$75</f>
        <v>84903</v>
      </c>
      <c r="C62" s="29">
        <f>+'[3]Script (key results)'!$B$73+'[3]Script (key results)'!$B$74+'[3]Script (key results)'!$B$75</f>
        <v>84903</v>
      </c>
      <c r="D62" s="28">
        <f t="shared" ref="D62:D63" si="3">C62-B62</f>
        <v>0</v>
      </c>
      <c r="E62" s="26">
        <f t="shared" ref="E62:E63" si="4">(C62-B62)/B62</f>
        <v>0</v>
      </c>
      <c r="F62" s="10"/>
    </row>
    <row r="63" spans="1:6" ht="13.5" thickBot="1" x14ac:dyDescent="0.35">
      <c r="A63" s="12" t="s">
        <v>117</v>
      </c>
      <c r="B63" s="29">
        <f>+'[2]key results (script)'!$B$34+'[2]key results (script)'!$B$35</f>
        <v>106852</v>
      </c>
      <c r="C63" s="29">
        <f>+'[3]Script (key results)'!$B$34+'[3]Script (key results)'!$B$35</f>
        <v>106871</v>
      </c>
      <c r="D63" s="29">
        <f t="shared" si="3"/>
        <v>19</v>
      </c>
      <c r="E63" s="26">
        <f t="shared" si="4"/>
        <v>1.7781604462246847E-4</v>
      </c>
      <c r="F63" s="10"/>
    </row>
    <row r="64" spans="1:6" x14ac:dyDescent="0.3">
      <c r="A64" s="78" t="s">
        <v>86</v>
      </c>
      <c r="B64" s="78"/>
      <c r="C64" s="78"/>
      <c r="D64" s="78"/>
      <c r="E64" s="78"/>
    </row>
    <row r="65" spans="1:5" ht="80.25" customHeight="1" x14ac:dyDescent="0.3">
      <c r="A65" s="75" t="s">
        <v>128</v>
      </c>
      <c r="B65" s="75"/>
      <c r="C65" s="75"/>
      <c r="D65" s="75"/>
      <c r="E65" s="75"/>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heetViews>
  <sheetFormatPr defaultColWidth="9.1796875" defaultRowHeight="13" x14ac:dyDescent="0.3"/>
  <cols>
    <col min="1" max="1" width="43.453125" style="1" customWidth="1"/>
    <col min="2" max="5" width="14.6328125" style="17" customWidth="1"/>
    <col min="6" max="16384" width="9.1796875" style="1"/>
  </cols>
  <sheetData>
    <row r="1" spans="1:5" x14ac:dyDescent="0.3">
      <c r="A1" s="6" t="s">
        <v>85</v>
      </c>
    </row>
    <row r="2" spans="1:5" x14ac:dyDescent="0.3">
      <c r="A2" s="6" t="s">
        <v>143</v>
      </c>
    </row>
    <row r="3" spans="1:5" x14ac:dyDescent="0.3">
      <c r="A3" s="71" t="s">
        <v>145</v>
      </c>
    </row>
    <row r="4" spans="1:5" s="30" customFormat="1" x14ac:dyDescent="0.3">
      <c r="A4" s="1" t="s">
        <v>114</v>
      </c>
      <c r="B4" s="60"/>
      <c r="C4" s="60"/>
      <c r="D4" s="60"/>
      <c r="E4" s="60"/>
    </row>
    <row r="5" spans="1:5" ht="41.25" customHeight="1" thickBot="1" x14ac:dyDescent="0.35">
      <c r="B5" s="9"/>
      <c r="C5" s="79" t="s">
        <v>136</v>
      </c>
      <c r="D5" s="79"/>
      <c r="E5" s="79"/>
    </row>
    <row r="6" spans="1:5" ht="26.5" thickBot="1" x14ac:dyDescent="0.35">
      <c r="A6" s="3"/>
      <c r="B6" s="23" t="s">
        <v>38</v>
      </c>
      <c r="C6" s="23" t="s">
        <v>37</v>
      </c>
      <c r="D6" s="23" t="s">
        <v>120</v>
      </c>
      <c r="E6" s="23" t="s">
        <v>77</v>
      </c>
    </row>
    <row r="7" spans="1:5" ht="27.5" x14ac:dyDescent="0.3">
      <c r="A7" s="64" t="s">
        <v>119</v>
      </c>
      <c r="B7" s="9"/>
      <c r="C7" s="9"/>
      <c r="D7" s="9"/>
    </row>
    <row r="8" spans="1:5" ht="14.5" x14ac:dyDescent="0.3">
      <c r="A8" s="2" t="s">
        <v>115</v>
      </c>
      <c r="B8" s="63">
        <f>SUM('7. Program Summary'!B9,'7. Program Summary'!B13,'7. Program Summary'!B17,'7. Program Summary'!B21,'7. Program Summary'!B25,'7. Program Summary'!B29,'7. Program Summary'!B33,'7. Program Summary'!B37,'7. Program Summary'!B41)</f>
        <v>19627.995967999996</v>
      </c>
      <c r="C8" s="63">
        <f>SUM('7. Program Summary'!C9,'7. Program Summary'!C13,'7. Program Summary'!C17,'7. Program Summary'!C21,'7. Program Summary'!C25,'7. Program Summary'!C29,'7. Program Summary'!C33,'7. Program Summary'!C37,'7. Program Summary'!C41)</f>
        <v>20764.925951999998</v>
      </c>
      <c r="D8" s="63">
        <f>+C8-B8</f>
        <v>1136.9299840000022</v>
      </c>
      <c r="E8" s="26">
        <f>(C8-B8)/B8</f>
        <v>5.7923895330606705E-2</v>
      </c>
    </row>
    <row r="9" spans="1:5" x14ac:dyDescent="0.3">
      <c r="A9" s="2" t="s">
        <v>133</v>
      </c>
      <c r="B9" s="63">
        <f>+'7. Program Summary'!B44+'7. Program Summary'!B59</f>
        <v>46669.543566</v>
      </c>
      <c r="C9" s="63">
        <f>+'7. Program Summary'!C44+'7. Program Summary'!C59</f>
        <v>45898.009040999998</v>
      </c>
      <c r="D9" s="63">
        <f t="shared" ref="D9:D10" si="0">+C9-B9</f>
        <v>-771.53452500000276</v>
      </c>
      <c r="E9" s="26">
        <f>(C9-B9)/B9</f>
        <v>-1.6531863524846771E-2</v>
      </c>
    </row>
    <row r="10" spans="1:5" ht="13.5" thickBot="1" x14ac:dyDescent="0.35">
      <c r="A10" s="8" t="s">
        <v>134</v>
      </c>
      <c r="B10" s="63">
        <f>(B8-B9)</f>
        <v>-27041.547598000005</v>
      </c>
      <c r="C10" s="63">
        <f>(C8-C9)</f>
        <v>-25133.083089</v>
      </c>
      <c r="D10" s="63">
        <f t="shared" si="0"/>
        <v>1908.4645090000049</v>
      </c>
      <c r="E10" s="70" t="s">
        <v>39</v>
      </c>
    </row>
    <row r="11" spans="1:5" ht="17.25" customHeight="1" x14ac:dyDescent="0.3">
      <c r="A11" s="76" t="s">
        <v>86</v>
      </c>
      <c r="B11" s="76"/>
      <c r="C11" s="76"/>
      <c r="D11" s="76"/>
      <c r="E11" s="76"/>
    </row>
    <row r="12" spans="1:5" ht="52.5" customHeight="1" x14ac:dyDescent="0.3">
      <c r="A12" s="77" t="s">
        <v>132</v>
      </c>
      <c r="B12" s="77"/>
      <c r="C12" s="77"/>
      <c r="D12" s="77"/>
      <c r="E12" s="77"/>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 Urban Institute Enacted Policies Preliminary Results, Simulation 3 - August 10, 2023</dc:title>
  <dc:creator>Urban Institute</dc:creator>
  <cp:lastModifiedBy>Albini, Daria (OTDA)</cp:lastModifiedBy>
  <dcterms:created xsi:type="dcterms:W3CDTF">2023-01-09T17:55:27Z</dcterms:created>
  <dcterms:modified xsi:type="dcterms:W3CDTF">2023-08-09T14:03:27Z</dcterms:modified>
</cp:coreProperties>
</file>