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09-11\"/>
    </mc:Choice>
  </mc:AlternateContent>
  <xr:revisionPtr revIDLastSave="0" documentId="8_{37F97DC8-E6E7-4444-B9FE-059307B3225F}" xr6:coauthVersionLast="47" xr6:coauthVersionMax="47" xr10:uidLastSave="{00000000-0000-0000-0000-000000000000}"/>
  <bookViews>
    <workbookView xWindow="790" yWindow="880" windowWidth="18000" windowHeight="92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1" l="1"/>
  <c r="C49" i="11"/>
  <c r="B50" i="11"/>
  <c r="B49" i="11"/>
  <c r="E49" i="11" s="1"/>
  <c r="D50" i="11" l="1"/>
  <c r="E50" i="11"/>
  <c r="D49" i="11"/>
  <c r="E56" i="11"/>
  <c r="E55" i="11"/>
  <c r="C63" i="11" l="1"/>
  <c r="C62" i="11"/>
  <c r="C59" i="11"/>
  <c r="C53" i="11"/>
  <c r="C52" i="11"/>
  <c r="C47" i="11"/>
  <c r="C46" i="11"/>
  <c r="C44" i="11"/>
  <c r="C41" i="11"/>
  <c r="C40" i="11"/>
  <c r="C37" i="11"/>
  <c r="C36" i="11"/>
  <c r="C33" i="11"/>
  <c r="C32" i="11"/>
  <c r="C29" i="11"/>
  <c r="C28" i="11"/>
  <c r="C25" i="11"/>
  <c r="C24" i="11"/>
  <c r="C21" i="11"/>
  <c r="C20" i="11"/>
  <c r="C17" i="11"/>
  <c r="C16" i="11"/>
  <c r="C13" i="11"/>
  <c r="C12" i="11"/>
  <c r="C9" i="11"/>
  <c r="C8" i="5" s="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B26" i="7"/>
  <c r="F30" i="7" s="1"/>
  <c r="B19" i="7"/>
  <c r="B13" i="7"/>
  <c r="F18" i="7" s="1"/>
  <c r="B7" i="7"/>
  <c r="B7" i="1"/>
  <c r="C46" i="7"/>
  <c r="C45" i="7"/>
  <c r="C44" i="7"/>
  <c r="C43" i="7"/>
  <c r="C41" i="7"/>
  <c r="C40" i="7"/>
  <c r="I40" i="7" s="1"/>
  <c r="C39" i="7"/>
  <c r="C38" i="7"/>
  <c r="C35" i="7"/>
  <c r="C34" i="7"/>
  <c r="C33" i="7"/>
  <c r="C32" i="7"/>
  <c r="C30" i="7"/>
  <c r="C29" i="7"/>
  <c r="I29" i="7" s="1"/>
  <c r="C28" i="7"/>
  <c r="C27" i="7"/>
  <c r="D27" i="7" s="1"/>
  <c r="C24" i="7"/>
  <c r="C23" i="7"/>
  <c r="C22" i="7"/>
  <c r="C21" i="7"/>
  <c r="C18" i="7"/>
  <c r="C17" i="7"/>
  <c r="D17" i="7" s="1"/>
  <c r="C16" i="7"/>
  <c r="C15" i="7"/>
  <c r="D15" i="7" s="1"/>
  <c r="C12" i="7"/>
  <c r="C11" i="7"/>
  <c r="C10" i="7"/>
  <c r="C9" i="7"/>
  <c r="C10" i="12"/>
  <c r="I45" i="7"/>
  <c r="F44" i="7"/>
  <c r="F43" i="7"/>
  <c r="I39" i="7"/>
  <c r="F38" i="7"/>
  <c r="F35" i="7"/>
  <c r="F33" i="7"/>
  <c r="F32" i="7"/>
  <c r="F27" i="7"/>
  <c r="F24" i="7"/>
  <c r="F22" i="7"/>
  <c r="F21" i="7"/>
  <c r="F15" i="7"/>
  <c r="F12" i="7"/>
  <c r="F11" i="7"/>
  <c r="F9" i="7"/>
  <c r="D35" i="7"/>
  <c r="D33" i="7"/>
  <c r="D29" i="7"/>
  <c r="D22" i="7"/>
  <c r="D18" i="7" l="1"/>
  <c r="D21" i="7"/>
  <c r="D23" i="7"/>
  <c r="D32" i="7"/>
  <c r="H32" i="7" s="1"/>
  <c r="D34" i="7"/>
  <c r="I17" i="7"/>
  <c r="I34" i="7"/>
  <c r="H15" i="7"/>
  <c r="I23" i="7"/>
  <c r="H27" i="7"/>
  <c r="F16" i="7"/>
  <c r="F28" i="7"/>
  <c r="D16" i="7"/>
  <c r="D28" i="7"/>
  <c r="D30" i="7"/>
  <c r="E44" i="11"/>
  <c r="H30" i="7"/>
  <c r="D11" i="7"/>
  <c r="H11" i="7" s="1"/>
  <c r="E9" i="5"/>
  <c r="D59" i="11"/>
  <c r="D44" i="11"/>
  <c r="H21" i="7"/>
  <c r="D40" i="7"/>
  <c r="F34" i="7"/>
  <c r="H34" i="7" s="1"/>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H38" i="7" s="1"/>
  <c r="D41" i="7"/>
  <c r="H41" i="7" s="1"/>
  <c r="D39" i="7"/>
  <c r="D43" i="7"/>
  <c r="H43" i="7" s="1"/>
  <c r="D44" i="7"/>
  <c r="H44" i="7" s="1"/>
  <c r="D45" i="7"/>
  <c r="D9" i="7"/>
  <c r="H9" i="7" s="1"/>
  <c r="D10" i="7"/>
  <c r="D12" i="7"/>
  <c r="H12" i="7" s="1"/>
  <c r="H16" i="7" l="1"/>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B25" i="11"/>
  <c r="E25" i="11" s="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42" i="1"/>
  <c r="G43" i="1"/>
  <c r="G44" i="1"/>
  <c r="G45" i="1"/>
  <c r="G39" i="12"/>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H16" i="10" s="1"/>
  <c r="I25" i="1"/>
  <c r="D25" i="1"/>
  <c r="H21" i="10"/>
  <c r="G31" i="1"/>
  <c r="D9" i="11"/>
  <c r="G40" i="1"/>
  <c r="D25" i="11"/>
  <c r="G26" i="12"/>
  <c r="G23" i="7"/>
  <c r="G43" i="12"/>
  <c r="G59" i="12"/>
  <c r="D41" i="11"/>
  <c r="H15" i="10" l="1"/>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<sst xmlns="http://schemas.openxmlformats.org/spreadsheetml/2006/main" count="348" uniqueCount="146">
  <si>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</si>
  <si>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</si>
  <si>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</si>
  <si>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</si>
  <si>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</si>
  <si>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</si>
  <si>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</si>
  <si>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</si>
  <si>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</si>
  <si>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</si>
  <si>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</si>
  <si>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</si>
  <si>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</si>
  <si>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</si>
  <si>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</si>
  <si>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</si>
  <si>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</si>
  <si>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</si>
  <si>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</si>
  <si>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</si>
  <si>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</si>
  <si>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</si>
  <si>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</si>
  <si>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</si>
  <si>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</si>
  <si>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</si>
  <si>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</si>
  <si>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</si>
  <si>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</si>
  <si>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</si>
  <si>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</si>
  <si>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</si>
  <si>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</si>
  <si>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</si>
  <si>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</si>
  <si>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</si>
  <si>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</si>
  <si>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</si>
  <si>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</si>
  <si>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</si>
  <si>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</si>
  <si>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</si>
  <si>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</si>
  <si>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</si>
  <si>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</si>
  <si>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</si>
  <si>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</si>
  <si>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</si>
  <si>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</si>
  <si>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</si>
  <si>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</si>
  <si>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</si>
  <si>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</si>
  <si>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</si>
  <si>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</si>
  <si>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</si>
  <si>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</si>
  <si>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</si>
  <si>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</si>
  <si>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</si>
  <si>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</si>
  <si>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</si>
  <si>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</si>
  <si>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</si>
  <si>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</si>
  <si>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</si>
  <si>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</si>
  <si>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</si>
  <si>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</si>
  <si>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</si>
  <si>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</si>
  <si>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</si>
  <si>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</si>
  <si>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</si>
  <si>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</si>
  <si>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</si>
  <si>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</si>
  <si>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</si>
  <si>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</si>
  <si>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</si>
  <si>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</si>
  <si>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</si>
  <si>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</si>
  <si>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</si>
  <si>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</si>
  <si>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</si>
  <si>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</si>
  <si>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</si>
  <si>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</si>
  <si>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</si>
  <si>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</si>
  <si>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</si>
  <si>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</si>
  <si>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</si>
  <si>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</si>
  <si>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</si>
  <si>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</si>
  <si>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</si>
  <si>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</si>
  <si>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</si>
  <si>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</si>
  <si>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</si>
  <si>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</si>
  <si>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</si>
  <si>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</si>
  <si>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</si>
  <si>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</si>
  <si>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</si>
  <si>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</si>
  <si>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</si>
  <si>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</si>
  <si>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</si>
  <si>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</si>
  <si>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</si>
  <si>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</si>
  <si>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</si>
  <si>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</si>
  <si>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</si>
  <si>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</si>
  <si>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</si>
  <si>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</si>
  <si>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</si>
  <si>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</si>
  <si>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</si>
  <si>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</si>
  <si>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</si>
  <si>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</si>
  <si>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</si>
  <si>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</si>
  <si>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</si>
  <si>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</si>
  <si>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</si>
  <si>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People in SPM Poverty by Demographic Characteristics, Under Enacted Policies for Empire State Child Credit, Public Assistance, and Child Care Subsidies, 2019</t>
  </si>
  <si>
    <t>Characteristics of Individuals in SPM Poverty in New York Under Enacted Policies for Empire State Child Credit, Public Assistance, and Child Care Subsidies, 2019</t>
  </si>
  <si>
    <t>Characteristics of Individuals by Race in SPM Poverty in New York Under Enacted Policies for Empire State Child Credit, Public Assistance, and Child Care Subsidies, 2019</t>
  </si>
  <si>
    <t xml:space="preserve">Characteristics of Families in SPM Poverty in New York Under Enacted Policies for Empire State Child Credit, Public Assistance, and Child Care Subsidies, 2019  </t>
  </si>
  <si>
    <t>Changes in Household Resources Under Enacted Policies for Empire State Child Credit, Public Assistance, and Child Care Subsidies, 20191</t>
  </si>
  <si>
    <t>Employment Changes by Characteristics Under Enacted Policies for Empire State Child Credit, Public Assistance, and Child Care Subsidies, 2019</t>
  </si>
  <si>
    <t>Change in Benefit Programs Under Enacted Policies for Empire State Child Credit, Public Assistance, and Child Care Subsidies, 2019</t>
  </si>
  <si>
    <t>Change in Government Costs Under Enacted Policies for Empire State Child Credit, Public Assistance, and Child Care Subsidies, 2019</t>
  </si>
  <si>
    <t>Enacted Policies for Empire State Child Credit, Public Assistance, and Child Care Subsidies</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</si>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</sst>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79">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NY19_Enact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re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tables"/>
      <sheetName val="CustomOutput (table 5)"/>
      <sheetName val="Script (key results)"/>
      <sheetName val="ESCC"/>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796875" defaultRowHeight="13" x14ac:dyDescent="0.3"/>
  <cols>
    <col min="1" max="1" width="41.36328125" style="1" customWidth="1"/>
    <col min="2" max="2" width="15.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78</v>
      </c>
      <c r="B1" s="25"/>
    </row>
    <row r="2" spans="1:9" x14ac:dyDescent="0.3">
      <c r="A2" s="6" t="s">
        <v>132</v>
      </c>
      <c r="B2" s="25"/>
    </row>
    <row r="3" spans="1:9" x14ac:dyDescent="0.3">
      <c r="A3" s="30" t="s">
        <v>145</v>
      </c>
      <c r="B3" s="25"/>
    </row>
    <row r="4" spans="1:9" x14ac:dyDescent="0.3">
      <c r="A4" s="1" t="s">
        <v>112</v>
      </c>
      <c r="E4" s="71"/>
      <c r="F4" s="71"/>
      <c r="G4" s="71"/>
    </row>
    <row r="5" spans="1:9" ht="25.5" customHeight="1" thickBot="1" x14ac:dyDescent="0.35">
      <c r="E5" s="72" t="s">
        <v>140</v>
      </c>
      <c r="F5" s="72"/>
      <c r="G5" s="72"/>
      <c r="H5" s="72"/>
      <c r="I5" s="72"/>
    </row>
    <row r="6" spans="1:9" ht="39.5" thickBot="1" x14ac:dyDescent="0.35">
      <c r="A6" s="3"/>
      <c r="B6" s="18" t="s">
        <v>72</v>
      </c>
      <c r="C6" s="23" t="s">
        <v>71</v>
      </c>
      <c r="D6" s="23" t="s">
        <v>75</v>
      </c>
      <c r="E6" s="24" t="s">
        <v>70</v>
      </c>
      <c r="F6" s="23" t="s">
        <v>76</v>
      </c>
      <c r="G6" s="23" t="s">
        <v>73</v>
      </c>
      <c r="H6" s="23" t="s">
        <v>74</v>
      </c>
      <c r="I6" s="23" t="s">
        <v>77</v>
      </c>
    </row>
    <row r="7" spans="1:9" ht="14.5" x14ac:dyDescent="0.3">
      <c r="A7" s="1" t="s">
        <v>65</v>
      </c>
      <c r="B7" s="31">
        <f>'[1]ATTIS Summary Tables'!$J$615/1000</f>
        <v>18879.900000000001</v>
      </c>
      <c r="C7" s="31">
        <f>'[2]SPM poverty tables'!$E$615/1000</f>
        <v>2556.8000000000002</v>
      </c>
      <c r="D7" s="26">
        <f>C7/$B7</f>
        <v>0.13542444610405777</v>
      </c>
      <c r="E7" s="31">
        <f>'[3]SPM tables'!$E$615/1000</f>
        <v>2491.46</v>
      </c>
      <c r="F7" s="32">
        <f>E7/$B7</f>
        <v>0.13196362268867948</v>
      </c>
      <c r="G7" s="28">
        <f>E7-C7</f>
        <v>-65.340000000000146</v>
      </c>
      <c r="H7" s="33">
        <f>ROUND((F7-D7)*100,2)</f>
        <v>-0.35</v>
      </c>
      <c r="I7" s="26">
        <f>(E7-C7)/C7</f>
        <v>-2.5555381727159005E-2</v>
      </c>
    </row>
    <row r="8" spans="1:9" x14ac:dyDescent="0.3">
      <c r="A8" s="12" t="s">
        <v>19</v>
      </c>
      <c r="B8" s="34"/>
      <c r="C8" s="34"/>
      <c r="E8" s="34"/>
      <c r="H8" s="35"/>
      <c r="I8" s="26"/>
    </row>
    <row r="9" spans="1:9" x14ac:dyDescent="0.3">
      <c r="A9" s="5" t="s">
        <v>55</v>
      </c>
      <c r="B9" s="36">
        <f>'[1]ATTIS Summary Tables'!$J$839/1000</f>
        <v>3993.93</v>
      </c>
      <c r="C9" s="36">
        <f>'[2]SPM poverty tables'!$E$839/1000</f>
        <v>556.33500000000004</v>
      </c>
      <c r="D9" s="26">
        <f t="shared" ref="D9:D12" si="0">C9/$B9</f>
        <v>0.13929513036032179</v>
      </c>
      <c r="E9" s="36">
        <f>'[3]SPM tables'!$E$839/1000</f>
        <v>519.10500000000002</v>
      </c>
      <c r="F9" s="32">
        <f t="shared" ref="F9:F12" si="1">E9/$B9</f>
        <v>0.12997348476312806</v>
      </c>
      <c r="G9" s="28">
        <f>E9-C9</f>
        <v>-37.230000000000018</v>
      </c>
      <c r="H9" s="33">
        <f t="shared" ref="H9:H12" si="2">ROUND((F9-D9)*100,2)</f>
        <v>-0.93</v>
      </c>
      <c r="I9" s="26">
        <f t="shared" ref="I9:I12" si="3">(E9-C9)/C9</f>
        <v>-6.692011108414897E-2</v>
      </c>
    </row>
    <row r="10" spans="1:9" x14ac:dyDescent="0.3">
      <c r="A10" s="13" t="s">
        <v>56</v>
      </c>
      <c r="B10" s="36">
        <f>SUM('[1]ATTIS Summary Tables'!$J$857:$J$858)/1000</f>
        <v>1108.269</v>
      </c>
      <c r="C10" s="36">
        <f>SUM('[2]SPM poverty tables'!$E$857:$E$858)/1000</f>
        <v>168.679</v>
      </c>
      <c r="D10" s="26">
        <f t="shared" si="0"/>
        <v>0.15220041343753185</v>
      </c>
      <c r="E10" s="36">
        <f>SUM('[3]SPM tables'!$E$857:$E$858)/1000</f>
        <v>151.84899999999999</v>
      </c>
      <c r="F10" s="32">
        <f t="shared" si="1"/>
        <v>0.13701456956749669</v>
      </c>
      <c r="G10" s="28">
        <f t="shared" ref="G10:G21" si="4">E10-C10</f>
        <v>-16.830000000000013</v>
      </c>
      <c r="H10" s="33">
        <f t="shared" si="2"/>
        <v>-1.52</v>
      </c>
      <c r="I10" s="26">
        <f t="shared" si="3"/>
        <v>-9.9775312872378966E-2</v>
      </c>
    </row>
    <row r="11" spans="1:9" x14ac:dyDescent="0.3">
      <c r="A11" s="13" t="s">
        <v>57</v>
      </c>
      <c r="B11" s="36">
        <f>SUM('[1]ATTIS Summary Tables'!$J$859:$J$860)/1000</f>
        <v>2885.67</v>
      </c>
      <c r="C11" s="36">
        <f>SUM('[2]SPM poverty tables'!$E$859:$E$860)/1000</f>
        <v>387.65600000000001</v>
      </c>
      <c r="D11" s="26">
        <f t="shared" si="0"/>
        <v>0.13433829925112711</v>
      </c>
      <c r="E11" s="36">
        <f>SUM('[3]SPM tables'!$E$859:$E$860)/1000</f>
        <v>367.25599999999997</v>
      </c>
      <c r="F11" s="32">
        <f t="shared" si="1"/>
        <v>0.12726888382940529</v>
      </c>
      <c r="G11" s="28">
        <f t="shared" si="4"/>
        <v>-20.400000000000034</v>
      </c>
      <c r="H11" s="33">
        <f t="shared" si="2"/>
        <v>-0.71</v>
      </c>
      <c r="I11" s="26">
        <f t="shared" si="3"/>
        <v>-5.2623975896155438E-2</v>
      </c>
    </row>
    <row r="12" spans="1:9" x14ac:dyDescent="0.3">
      <c r="A12" s="5" t="s">
        <v>58</v>
      </c>
      <c r="B12" s="36">
        <f>SUM('[1]ATTIS Summary Tables'!$J$634:$J$637)/1000</f>
        <v>14885.93</v>
      </c>
      <c r="C12" s="36">
        <f>SUM('[2]SPM poverty tables'!$E$634:$E$637)/1000</f>
        <v>2000.4680000000001</v>
      </c>
      <c r="D12" s="26">
        <f t="shared" si="0"/>
        <v>0.13438649785401383</v>
      </c>
      <c r="E12" s="36">
        <f>SUM('[3]SPM tables'!$E$634:$E$637)/1000</f>
        <v>1972.357</v>
      </c>
      <c r="F12" s="32">
        <f t="shared" si="1"/>
        <v>0.1324980703254684</v>
      </c>
      <c r="G12" s="28">
        <f t="shared" si="4"/>
        <v>-28.111000000000104</v>
      </c>
      <c r="H12" s="33">
        <f t="shared" si="2"/>
        <v>-0.19</v>
      </c>
      <c r="I12" s="26">
        <f t="shared" si="3"/>
        <v>-1.405221178244296E-2</v>
      </c>
    </row>
    <row r="13" spans="1:9" ht="14.5" x14ac:dyDescent="0.3">
      <c r="A13" s="12" t="s">
        <v>59</v>
      </c>
      <c r="B13" s="34"/>
      <c r="C13" s="34"/>
      <c r="E13" s="34"/>
      <c r="F13" s="32"/>
      <c r="H13" s="35"/>
      <c r="I13" s="26"/>
    </row>
    <row r="14" spans="1:9" x14ac:dyDescent="0.3">
      <c r="A14" s="5" t="s">
        <v>23</v>
      </c>
      <c r="B14" s="36">
        <f>'[1]ATTIS Summary Tables'!$J$619/1000</f>
        <v>1627.8</v>
      </c>
      <c r="C14" s="36">
        <f>'[2]SPM poverty tables'!$E$619/1000</f>
        <v>344.77100000000002</v>
      </c>
      <c r="D14" s="26">
        <f t="shared" ref="D14:D18" si="5">C14/$B14</f>
        <v>0.21180181840520951</v>
      </c>
      <c r="E14" s="36">
        <f>'[3]SPM tables'!$E$619/1000</f>
        <v>334.03699999999998</v>
      </c>
      <c r="F14" s="32">
        <f t="shared" ref="F14:F18" si="6">E14/$B14</f>
        <v>0.20520764221648852</v>
      </c>
      <c r="G14" s="28">
        <f t="shared" si="4"/>
        <v>-10.734000000000037</v>
      </c>
      <c r="H14" s="33">
        <f t="shared" ref="H14:H18" si="7">ROUND((F14-D14)*100,2)</f>
        <v>-0.66</v>
      </c>
      <c r="I14" s="26">
        <f t="shared" ref="I14:I18" si="8">(E14-C14)/C14</f>
        <v>-3.1133709041653843E-2</v>
      </c>
    </row>
    <row r="15" spans="1:9" x14ac:dyDescent="0.3">
      <c r="A15" s="5" t="s">
        <v>22</v>
      </c>
      <c r="B15" s="36">
        <f>'[1]ATTIS Summary Tables'!$J$618/1000</f>
        <v>2625.71</v>
      </c>
      <c r="C15" s="36">
        <f>'[2]SPM poverty tables'!$E$618/1000</f>
        <v>447.202</v>
      </c>
      <c r="D15" s="26">
        <f t="shared" si="5"/>
        <v>0.17031660008150176</v>
      </c>
      <c r="E15" s="36">
        <f>'[3]SPM tables'!$E$618/1000</f>
        <v>436.64499999999998</v>
      </c>
      <c r="F15" s="32">
        <f t="shared" si="6"/>
        <v>0.16629597327960818</v>
      </c>
      <c r="G15" s="28">
        <f t="shared" si="4"/>
        <v>-10.557000000000016</v>
      </c>
      <c r="H15" s="33">
        <f t="shared" si="7"/>
        <v>-0.4</v>
      </c>
      <c r="I15" s="26">
        <f t="shared" si="8"/>
        <v>-2.360678172280092E-2</v>
      </c>
    </row>
    <row r="16" spans="1:9" x14ac:dyDescent="0.3">
      <c r="A16" s="5" t="s">
        <v>24</v>
      </c>
      <c r="B16" s="36">
        <f>'[1]ATTIS Summary Tables'!$J$620/1000</f>
        <v>3645.79</v>
      </c>
      <c r="C16" s="36">
        <f>'[2]SPM poverty tables'!$E$620/1000</f>
        <v>720.529</v>
      </c>
      <c r="D16" s="26">
        <f t="shared" si="5"/>
        <v>0.1976331604398498</v>
      </c>
      <c r="E16" s="36">
        <f>'[3]SPM tables'!$E$620/1000</f>
        <v>695.976</v>
      </c>
      <c r="F16" s="32">
        <f t="shared" si="6"/>
        <v>0.19089854325125694</v>
      </c>
      <c r="G16" s="28">
        <f t="shared" si="4"/>
        <v>-24.552999999999997</v>
      </c>
      <c r="H16" s="33">
        <f t="shared" si="7"/>
        <v>-0.67</v>
      </c>
      <c r="I16" s="26">
        <f t="shared" si="8"/>
        <v>-3.4076352235649081E-2</v>
      </c>
    </row>
    <row r="17" spans="1:9" x14ac:dyDescent="0.3">
      <c r="A17" s="5" t="s">
        <v>25</v>
      </c>
      <c r="B17" s="36">
        <f>'[1]ATTIS Summary Tables'!$J$617/1000</f>
        <v>10430.799999999999</v>
      </c>
      <c r="C17" s="36">
        <f>'[2]SPM poverty tables'!$E$617/1000</f>
        <v>951.55799999999999</v>
      </c>
      <c r="D17" s="26">
        <f t="shared" si="5"/>
        <v>9.1225792844268905E-2</v>
      </c>
      <c r="E17" s="36">
        <f>'[3]SPM tables'!$E$617/1000</f>
        <v>932.89499999999998</v>
      </c>
      <c r="F17" s="32">
        <f t="shared" si="6"/>
        <v>8.9436572458488323E-2</v>
      </c>
      <c r="G17" s="28">
        <f t="shared" si="4"/>
        <v>-18.663000000000011</v>
      </c>
      <c r="H17" s="33">
        <f t="shared" si="7"/>
        <v>-0.18</v>
      </c>
      <c r="I17" s="26">
        <f t="shared" si="8"/>
        <v>-1.9613097677703317E-2</v>
      </c>
    </row>
    <row r="18" spans="1:9" x14ac:dyDescent="0.3">
      <c r="A18" s="5" t="s">
        <v>60</v>
      </c>
      <c r="B18" s="36">
        <f>'[1]ATTIS Summary Tables'!$J$621/1000</f>
        <v>549.71500000000003</v>
      </c>
      <c r="C18" s="36">
        <f>'[2]SPM poverty tables'!$E$621/1000</f>
        <v>92.742999999999995</v>
      </c>
      <c r="D18" s="26">
        <f t="shared" si="5"/>
        <v>0.16871105936712658</v>
      </c>
      <c r="E18" s="36">
        <f>'[3]SPM tables'!$E$621/1000</f>
        <v>91.909000000000006</v>
      </c>
      <c r="F18" s="32">
        <f t="shared" si="6"/>
        <v>0.16719390957132332</v>
      </c>
      <c r="G18" s="28">
        <f t="shared" si="4"/>
        <v>-0.83399999999998897</v>
      </c>
      <c r="H18" s="33">
        <f t="shared" si="7"/>
        <v>-0.15</v>
      </c>
      <c r="I18" s="26">
        <f t="shared" si="8"/>
        <v>-8.9925924328519563E-3</v>
      </c>
    </row>
    <row r="19" spans="1:9" x14ac:dyDescent="0.3">
      <c r="A19" s="12" t="s">
        <v>27</v>
      </c>
      <c r="B19" s="34"/>
      <c r="C19" s="34"/>
      <c r="E19" s="34"/>
      <c r="F19" s="32"/>
      <c r="H19" s="35"/>
      <c r="I19" s="26"/>
    </row>
    <row r="20" spans="1:9" x14ac:dyDescent="0.3">
      <c r="A20" s="5" t="s">
        <v>29</v>
      </c>
      <c r="B20" s="36">
        <f>'[1]ATTIS Summary Tables'!$H$2024/1000</f>
        <v>8135.46</v>
      </c>
      <c r="C20" s="36">
        <f>'[2]SPM poverty tables'!$D$2024/1000</f>
        <v>1517.62</v>
      </c>
      <c r="D20" s="37">
        <f t="shared" ref="D20:D21" si="9">C20/$B20</f>
        <v>0.18654384632215018</v>
      </c>
      <c r="E20" s="36">
        <f>'[3]SPM tables'!$D$2024/1000</f>
        <v>1469.37</v>
      </c>
      <c r="F20" s="32">
        <f t="shared" ref="F20:F21" si="10">E20/$B20</f>
        <v>0.18061302003820312</v>
      </c>
      <c r="G20" s="28">
        <f t="shared" si="4"/>
        <v>-48.25</v>
      </c>
      <c r="H20" s="38">
        <f t="shared" ref="H20:H21" si="11">ROUND((F20-D20)*100,2)</f>
        <v>-0.59</v>
      </c>
      <c r="I20" s="32">
        <f t="shared" ref="I20:I21" si="12">(E20-C20)/C20</f>
        <v>-3.1793202514463437E-2</v>
      </c>
    </row>
    <row r="21" spans="1:9" ht="13.5" thickBot="1" x14ac:dyDescent="0.3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1022.09</v>
      </c>
      <c r="F21" s="41">
        <f t="shared" si="10"/>
        <v>9.5127340280182118E-2</v>
      </c>
      <c r="G21" s="42">
        <f t="shared" si="4"/>
        <v>-17.090000000000032</v>
      </c>
      <c r="H21" s="43">
        <f t="shared" si="11"/>
        <v>-0.16</v>
      </c>
      <c r="I21" s="41">
        <f t="shared" si="12"/>
        <v>-1.6445659077349479E-2</v>
      </c>
    </row>
    <row r="22" spans="1:9" ht="15" customHeight="1" x14ac:dyDescent="0.3">
      <c r="A22" s="73" t="s">
        <v>86</v>
      </c>
      <c r="B22" s="73"/>
      <c r="C22" s="73"/>
      <c r="D22" s="73"/>
      <c r="E22" s="73"/>
      <c r="F22" s="73"/>
      <c r="G22" s="73"/>
      <c r="H22" s="73"/>
      <c r="I22" s="73"/>
    </row>
    <row r="23" spans="1:9" ht="41.25" customHeight="1" x14ac:dyDescent="0.3">
      <c r="A23" s="74" t="s">
        <v>62</v>
      </c>
      <c r="B23" s="74"/>
      <c r="C23" s="74"/>
      <c r="D23" s="74"/>
      <c r="E23" s="74"/>
      <c r="F23" s="74"/>
      <c r="G23" s="74"/>
      <c r="H23" s="74"/>
      <c r="I23" s="74"/>
    </row>
    <row r="24" spans="1:9" x14ac:dyDescent="0.3">
      <c r="E24" s="28"/>
    </row>
    <row r="25" spans="1:9" x14ac:dyDescent="0.3">
      <c r="B25" s="28"/>
      <c r="C25" s="28"/>
      <c r="E25" s="28"/>
    </row>
    <row r="27" spans="1:9" x14ac:dyDescent="0.3">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heetViews>
  <sheetFormatPr defaultColWidth="9.1796875" defaultRowHeight="13" x14ac:dyDescent="0.3"/>
  <cols>
    <col min="1" max="1" width="49.816406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30</v>
      </c>
      <c r="B1" s="25" t="s">
        <v>63</v>
      </c>
    </row>
    <row r="2" spans="1:9" x14ac:dyDescent="0.3">
      <c r="A2" s="6" t="s">
        <v>133</v>
      </c>
      <c r="B2" s="25"/>
    </row>
    <row r="3" spans="1:9" x14ac:dyDescent="0.3">
      <c r="A3" s="70" t="s">
        <v>145</v>
      </c>
      <c r="B3" s="25"/>
    </row>
    <row r="4" spans="1:9" x14ac:dyDescent="0.3">
      <c r="A4" s="1" t="s">
        <v>112</v>
      </c>
      <c r="E4" s="71"/>
      <c r="F4" s="71"/>
      <c r="G4" s="71"/>
    </row>
    <row r="5" spans="1:9" ht="31.5" customHeight="1" thickBot="1" x14ac:dyDescent="0.35">
      <c r="E5" s="72" t="s">
        <v>140</v>
      </c>
      <c r="F5" s="72"/>
      <c r="G5" s="72"/>
      <c r="H5" s="72"/>
      <c r="I5" s="72"/>
    </row>
    <row r="6" spans="1:9" ht="51.75"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32"/>
      <c r="G7" s="28"/>
      <c r="H7" s="45"/>
      <c r="I7" s="26"/>
    </row>
    <row r="8" spans="1:9" ht="14.5" x14ac:dyDescent="0.3">
      <c r="A8" s="12" t="s">
        <v>93</v>
      </c>
      <c r="B8" s="46"/>
      <c r="C8" s="34"/>
      <c r="D8" s="26"/>
      <c r="E8" s="34"/>
      <c r="G8" s="28"/>
      <c r="H8" s="35"/>
      <c r="I8" s="26"/>
    </row>
    <row r="9" spans="1:9" x14ac:dyDescent="0.3">
      <c r="A9" s="5" t="s">
        <v>1</v>
      </c>
      <c r="B9" s="47"/>
      <c r="C9" s="36">
        <f>'[2]SPM poverty tables'!$D$615/1000</f>
        <v>667.553</v>
      </c>
      <c r="D9" s="26">
        <f>C9/$B$7</f>
        <v>3.5357867361585596E-2</v>
      </c>
      <c r="E9" s="36">
        <f>'[3]SPM tables'!$D$615/1000</f>
        <v>661.87</v>
      </c>
      <c r="F9" s="26">
        <f>E9/$B$7</f>
        <v>3.5056859411331624E-2</v>
      </c>
      <c r="G9" s="28">
        <f>E9-C9</f>
        <v>-5.6829999999999927</v>
      </c>
      <c r="H9" s="33">
        <f>ROUND((F9-D9)*100,2)</f>
        <v>-0.03</v>
      </c>
      <c r="I9" s="26">
        <f>(E9-C9)/C9</f>
        <v>-8.5131817248967397E-3</v>
      </c>
    </row>
    <row r="10" spans="1:9" x14ac:dyDescent="0.3">
      <c r="A10" s="5" t="s">
        <v>2</v>
      </c>
      <c r="B10" s="47"/>
      <c r="C10" s="36">
        <f>'[2]SPM poverty tables'!$E$615/1000</f>
        <v>2556.8000000000002</v>
      </c>
      <c r="D10" s="26">
        <f t="shared" ref="D10:D12" si="0">C10/$B$7</f>
        <v>0.13542444610405777</v>
      </c>
      <c r="E10" s="36">
        <f>'[3]SPM tables'!$E$615/1000</f>
        <v>2491.46</v>
      </c>
      <c r="F10" s="26">
        <f t="shared" ref="F10" si="1">E10/$B$7</f>
        <v>0.13196362268867948</v>
      </c>
      <c r="G10" s="28">
        <f t="shared" ref="G10:G45" si="2">E10-C10</f>
        <v>-65.340000000000146</v>
      </c>
      <c r="H10" s="33">
        <f t="shared" ref="H10:H12" si="3">ROUND((F10-D10)*100,2)</f>
        <v>-0.35</v>
      </c>
      <c r="I10" s="26">
        <f t="shared" ref="I10:I12" si="4">(E10-C10)/C10</f>
        <v>-2.5555381727159005E-2</v>
      </c>
    </row>
    <row r="11" spans="1:9" x14ac:dyDescent="0.3">
      <c r="A11" s="5" t="s">
        <v>3</v>
      </c>
      <c r="B11" s="47"/>
      <c r="C11" s="36">
        <f>'[2]SPM poverty tables'!$F$615/1000</f>
        <v>5822.72</v>
      </c>
      <c r="D11" s="26">
        <f t="shared" si="0"/>
        <v>0.30840841318015455</v>
      </c>
      <c r="E11" s="36">
        <f>'[3]SPM tables'!$F$615/1000</f>
        <v>5779.37</v>
      </c>
      <c r="F11" s="26">
        <f t="shared" ref="F11" si="5">E11/$B$7</f>
        <v>0.30611232051017218</v>
      </c>
      <c r="G11" s="28">
        <f t="shared" si="2"/>
        <v>-43.350000000000364</v>
      </c>
      <c r="H11" s="33">
        <f t="shared" si="3"/>
        <v>-0.23</v>
      </c>
      <c r="I11" s="26">
        <f t="shared" si="4"/>
        <v>-7.4449741701473476E-3</v>
      </c>
    </row>
    <row r="12" spans="1:9" x14ac:dyDescent="0.3">
      <c r="A12" s="5" t="s">
        <v>4</v>
      </c>
      <c r="B12" s="47"/>
      <c r="C12" s="36">
        <f>'[2]SPM poverty tables'!$G$615/1000</f>
        <v>8271.4599999999991</v>
      </c>
      <c r="D12" s="26">
        <f t="shared" si="0"/>
        <v>0.43810931201966102</v>
      </c>
      <c r="E12" s="36">
        <f>'[3]SPM tables'!$G$615/1000</f>
        <v>8251.17</v>
      </c>
      <c r="F12" s="26">
        <f t="shared" ref="F12" si="6">E12/$B$7</f>
        <v>0.4370346241240684</v>
      </c>
      <c r="G12" s="28">
        <f t="shared" si="2"/>
        <v>-20.289999999999054</v>
      </c>
      <c r="H12" s="33">
        <f t="shared" si="3"/>
        <v>-0.11</v>
      </c>
      <c r="I12" s="26">
        <f t="shared" si="4"/>
        <v>-2.4530131319016298E-3</v>
      </c>
    </row>
    <row r="13" spans="1:9" x14ac:dyDescent="0.3">
      <c r="A13" s="12" t="s">
        <v>21</v>
      </c>
      <c r="B13" s="46"/>
      <c r="C13" s="34"/>
      <c r="D13" s="26"/>
      <c r="E13" s="34"/>
      <c r="F13" s="26"/>
      <c r="G13" s="28"/>
      <c r="H13" s="35"/>
      <c r="I13" s="26"/>
    </row>
    <row r="14" spans="1:9" x14ac:dyDescent="0.3">
      <c r="A14" s="5" t="s">
        <v>5</v>
      </c>
      <c r="B14" s="47">
        <f>'[1]ATTIS Summary Tables'!$J$633/1000</f>
        <v>3993.93</v>
      </c>
      <c r="C14" s="36"/>
      <c r="D14" s="26"/>
      <c r="E14" s="36"/>
      <c r="F14" s="26"/>
      <c r="G14" s="28"/>
      <c r="H14" s="45"/>
      <c r="I14" s="26"/>
    </row>
    <row r="15" spans="1:9" x14ac:dyDescent="0.3">
      <c r="A15" s="13" t="s">
        <v>1</v>
      </c>
      <c r="B15" s="47"/>
      <c r="C15" s="36">
        <f>'[2]SPM poverty tables'!$D$633/1000</f>
        <v>88.122</v>
      </c>
      <c r="D15" s="26">
        <f>C15/$B$14</f>
        <v>2.2063982092825864E-2</v>
      </c>
      <c r="E15" s="36">
        <f>'[3]SPM tables'!$D$633/1000</f>
        <v>85.796999999999997</v>
      </c>
      <c r="F15" s="26">
        <f>E15/$B$14</f>
        <v>2.1481848705410461E-2</v>
      </c>
      <c r="G15" s="28">
        <f t="shared" si="2"/>
        <v>-2.3250000000000028</v>
      </c>
      <c r="H15" s="33">
        <f>ROUND((F15-D15)*100,2)</f>
        <v>-0.06</v>
      </c>
      <c r="I15" s="26">
        <f t="shared" ref="I15:I18" si="7">(E15-C15)/C15</f>
        <v>-2.6383876897936982E-2</v>
      </c>
    </row>
    <row r="16" spans="1:9" x14ac:dyDescent="0.3">
      <c r="A16" s="13" t="s">
        <v>2</v>
      </c>
      <c r="B16" s="47"/>
      <c r="C16" s="36">
        <f>'[2]SPM poverty tables'!$E$633/1000</f>
        <v>556.33500000000004</v>
      </c>
      <c r="D16" s="26">
        <f t="shared" ref="D16:F18" si="8">C16/$B$14</f>
        <v>0.13929513036032179</v>
      </c>
      <c r="E16" s="36">
        <f>'[3]SPM tables'!$E$633/1000</f>
        <v>519.10500000000002</v>
      </c>
      <c r="F16" s="26">
        <f t="shared" si="8"/>
        <v>0.12997348476312806</v>
      </c>
      <c r="G16" s="28">
        <f t="shared" si="2"/>
        <v>-37.230000000000018</v>
      </c>
      <c r="H16" s="33">
        <f t="shared" ref="H16:H18" si="9">ROUND((F16-D16)*100,2)</f>
        <v>-0.93</v>
      </c>
      <c r="I16" s="26">
        <f t="shared" si="7"/>
        <v>-6.692011108414897E-2</v>
      </c>
    </row>
    <row r="17" spans="1:9" x14ac:dyDescent="0.3">
      <c r="A17" s="13" t="s">
        <v>3</v>
      </c>
      <c r="B17" s="47"/>
      <c r="C17" s="36">
        <f>'[2]SPM poverty tables'!$F$633/1000</f>
        <v>1472.79</v>
      </c>
      <c r="D17" s="26">
        <f t="shared" si="8"/>
        <v>0.36875708888237901</v>
      </c>
      <c r="E17" s="36">
        <f>'[3]SPM tables'!$F$633/1000</f>
        <v>1448.35</v>
      </c>
      <c r="F17" s="26">
        <f t="shared" si="8"/>
        <v>0.3626378028658489</v>
      </c>
      <c r="G17" s="28">
        <f t="shared" si="2"/>
        <v>-24.440000000000055</v>
      </c>
      <c r="H17" s="33">
        <f t="shared" si="9"/>
        <v>-0.61</v>
      </c>
      <c r="I17" s="26">
        <f t="shared" si="7"/>
        <v>-1.6594354931796153E-2</v>
      </c>
    </row>
    <row r="18" spans="1:9" x14ac:dyDescent="0.3">
      <c r="A18" s="13" t="s">
        <v>4</v>
      </c>
      <c r="B18" s="47"/>
      <c r="C18" s="36">
        <f>'[2]SPM poverty tables'!$G$633/1000</f>
        <v>2095.7800000000002</v>
      </c>
      <c r="D18" s="26">
        <f t="shared" si="8"/>
        <v>0.52474129491503363</v>
      </c>
      <c r="E18" s="36">
        <f>'[3]SPM tables'!$G$633/1000</f>
        <v>2085.7399999999998</v>
      </c>
      <c r="F18" s="26">
        <f t="shared" si="8"/>
        <v>0.52222748020120524</v>
      </c>
      <c r="G18" s="28">
        <f t="shared" si="2"/>
        <v>-10.040000000000418</v>
      </c>
      <c r="H18" s="33">
        <f t="shared" si="9"/>
        <v>-0.25</v>
      </c>
      <c r="I18" s="26">
        <f t="shared" si="7"/>
        <v>-4.7905791638437325E-3</v>
      </c>
    </row>
    <row r="19" spans="1:9" x14ac:dyDescent="0.3">
      <c r="A19" s="5" t="s">
        <v>64</v>
      </c>
      <c r="B19" s="47">
        <f>SUM('[1]ATTIS Summary Tables'!$J$857:$J$858)/1000</f>
        <v>1108.269</v>
      </c>
      <c r="C19" s="36"/>
      <c r="D19" s="26"/>
      <c r="E19" s="36"/>
      <c r="F19" s="26"/>
      <c r="G19" s="28"/>
      <c r="H19" s="45"/>
      <c r="I19" s="26"/>
    </row>
    <row r="20" spans="1:9" x14ac:dyDescent="0.3">
      <c r="A20" s="13" t="s">
        <v>1</v>
      </c>
      <c r="B20" s="47"/>
      <c r="C20" s="36">
        <f>SUM('[2]SPM poverty tables'!$D$857:$D$858)/1000</f>
        <v>25.547999999999998</v>
      </c>
      <c r="D20" s="26">
        <f>C20/$B$19</f>
        <v>2.3052165133194195E-2</v>
      </c>
      <c r="E20" s="36">
        <f>SUM('[3]SPM tables'!$D$857:$D$858)/1000</f>
        <v>24.396000000000001</v>
      </c>
      <c r="F20" s="26">
        <f>E20/$B$19</f>
        <v>2.2012706301448477E-2</v>
      </c>
      <c r="G20" s="28">
        <f t="shared" si="2"/>
        <v>-1.1519999999999975</v>
      </c>
      <c r="H20" s="33">
        <f>ROUND((F20-D20)*100,2)</f>
        <v>-0.1</v>
      </c>
      <c r="I20" s="26">
        <f t="shared" ref="I20:I23" si="10">(E20-C20)/C20</f>
        <v>-4.5091592296852889E-2</v>
      </c>
    </row>
    <row r="21" spans="1:9" x14ac:dyDescent="0.3">
      <c r="A21" s="13" t="s">
        <v>2</v>
      </c>
      <c r="B21" s="47"/>
      <c r="C21" s="36">
        <f>SUM('[2]SPM poverty tables'!$E$857:$E$858)/1000</f>
        <v>168.679</v>
      </c>
      <c r="D21" s="26">
        <f t="shared" ref="D21:F23" si="11">C21/$B$19</f>
        <v>0.15220041343753185</v>
      </c>
      <c r="E21" s="36">
        <f>SUM('[3]SPM tables'!$E$857:$E$858)/1000</f>
        <v>151.84899999999999</v>
      </c>
      <c r="F21" s="26">
        <f t="shared" si="11"/>
        <v>0.13701456956749669</v>
      </c>
      <c r="G21" s="28">
        <f t="shared" si="2"/>
        <v>-16.830000000000013</v>
      </c>
      <c r="H21" s="33">
        <f t="shared" ref="H21:H23" si="12">ROUND((F21-D21)*100,2)</f>
        <v>-1.52</v>
      </c>
      <c r="I21" s="26">
        <f t="shared" si="10"/>
        <v>-9.9775312872378966E-2</v>
      </c>
    </row>
    <row r="22" spans="1:9" x14ac:dyDescent="0.3">
      <c r="A22" s="13" t="s">
        <v>3</v>
      </c>
      <c r="B22" s="47"/>
      <c r="C22" s="36">
        <f>SUM('[2]SPM poverty tables'!$F$857:$F$858)/1000</f>
        <v>434.59199999999998</v>
      </c>
      <c r="D22" s="26">
        <f t="shared" si="11"/>
        <v>0.39213584427607373</v>
      </c>
      <c r="E22" s="36">
        <f>SUM('[3]SPM tables'!$F$857:$F$858)/1000</f>
        <v>421.90600000000001</v>
      </c>
      <c r="F22" s="26">
        <f t="shared" si="11"/>
        <v>0.38068916481467946</v>
      </c>
      <c r="G22" s="28">
        <f t="shared" si="2"/>
        <v>-12.685999999999979</v>
      </c>
      <c r="H22" s="33">
        <f t="shared" si="12"/>
        <v>-1.1399999999999999</v>
      </c>
      <c r="I22" s="26">
        <f t="shared" si="10"/>
        <v>-2.9190597157793929E-2</v>
      </c>
    </row>
    <row r="23" spans="1:9" x14ac:dyDescent="0.3">
      <c r="A23" s="13" t="s">
        <v>4</v>
      </c>
      <c r="B23" s="47"/>
      <c r="C23" s="36">
        <f>SUM('[2]SPM poverty tables'!$G$857:$G$858)/1000</f>
        <v>606.17700000000002</v>
      </c>
      <c r="D23" s="26">
        <f t="shared" si="11"/>
        <v>0.54695836480132531</v>
      </c>
      <c r="E23" s="36">
        <f>SUM('[3]SPM tables'!$G$857:$G$858)/1000</f>
        <v>600.13900000000001</v>
      </c>
      <c r="F23" s="26">
        <f t="shared" si="11"/>
        <v>0.54151022901479695</v>
      </c>
      <c r="G23" s="28">
        <f t="shared" si="2"/>
        <v>-6.0380000000000109</v>
      </c>
      <c r="H23" s="33">
        <f t="shared" si="12"/>
        <v>-0.54</v>
      </c>
      <c r="I23" s="26">
        <f t="shared" si="10"/>
        <v>-9.9607870308507426E-3</v>
      </c>
    </row>
    <row r="24" spans="1:9" x14ac:dyDescent="0.3">
      <c r="A24" s="5" t="s">
        <v>18</v>
      </c>
      <c r="B24" s="47">
        <f>SUM('[1]ATTIS Summary Tables'!$J$634:$J$637)/1000</f>
        <v>14885.93</v>
      </c>
      <c r="C24" s="36"/>
      <c r="D24" s="26"/>
      <c r="E24" s="36"/>
      <c r="F24" s="26"/>
      <c r="G24" s="28"/>
      <c r="H24" s="45"/>
      <c r="I24" s="26"/>
    </row>
    <row r="25" spans="1:9" x14ac:dyDescent="0.3">
      <c r="A25" s="13" t="s">
        <v>1</v>
      </c>
      <c r="B25" s="47"/>
      <c r="C25" s="36">
        <f>SUM('[2]SPM poverty tables'!$D$634:$D$637)/1000</f>
        <v>579.43100000000004</v>
      </c>
      <c r="D25" s="26">
        <f>C25/$B$24</f>
        <v>3.8924743029155724E-2</v>
      </c>
      <c r="E25" s="36">
        <f>SUM('[3]SPM tables'!$D$634:$D$637)/1000</f>
        <v>576.07299999999998</v>
      </c>
      <c r="F25" s="26">
        <f>E25/$B$24</f>
        <v>3.8699160885480449E-2</v>
      </c>
      <c r="G25" s="28">
        <f t="shared" si="2"/>
        <v>-3.3580000000000609</v>
      </c>
      <c r="H25" s="33">
        <f>ROUND((F25-D25)*100,2)</f>
        <v>-0.02</v>
      </c>
      <c r="I25" s="26">
        <f t="shared" ref="I25:I27" si="13">(E25-C25)/C25</f>
        <v>-5.7953406013831858E-3</v>
      </c>
    </row>
    <row r="26" spans="1:9" x14ac:dyDescent="0.3">
      <c r="A26" s="13" t="s">
        <v>2</v>
      </c>
      <c r="B26" s="47"/>
      <c r="C26" s="36">
        <f>SUM('[2]SPM poverty tables'!$E$634:$E$637)/1000</f>
        <v>2000.4680000000001</v>
      </c>
      <c r="D26" s="26">
        <f t="shared" ref="D26:F28" si="14">C26/$B$24</f>
        <v>0.13438649785401383</v>
      </c>
      <c r="E26" s="36">
        <f>SUM('[3]SPM tables'!$E$634:$E$637)/1000</f>
        <v>1972.357</v>
      </c>
      <c r="F26" s="26">
        <f t="shared" si="14"/>
        <v>0.1324980703254684</v>
      </c>
      <c r="G26" s="28">
        <f t="shared" si="2"/>
        <v>-28.111000000000104</v>
      </c>
      <c r="H26" s="33">
        <f t="shared" ref="H26:H28" si="15">ROUND((F26-D26)*100,2)</f>
        <v>-0.19</v>
      </c>
      <c r="I26" s="26">
        <f t="shared" si="13"/>
        <v>-1.405221178244296E-2</v>
      </c>
    </row>
    <row r="27" spans="1:9" x14ac:dyDescent="0.3">
      <c r="A27" s="13" t="s">
        <v>3</v>
      </c>
      <c r="B27" s="47"/>
      <c r="C27" s="36">
        <f>SUM('[2]SPM poverty tables'!$F$634:$F$637)/1000</f>
        <v>4349.9260000000004</v>
      </c>
      <c r="D27" s="26">
        <f t="shared" si="14"/>
        <v>0.29221728168814448</v>
      </c>
      <c r="E27" s="36">
        <f>SUM('[3]SPM tables'!$F$634:$F$637)/1000</f>
        <v>4331.0209999999997</v>
      </c>
      <c r="F27" s="26">
        <f t="shared" si="14"/>
        <v>0.29094729049511853</v>
      </c>
      <c r="G27" s="28">
        <f t="shared" si="2"/>
        <v>-18.905000000000655</v>
      </c>
      <c r="H27" s="33">
        <f t="shared" si="15"/>
        <v>-0.13</v>
      </c>
      <c r="I27" s="26">
        <f t="shared" si="13"/>
        <v>-4.3460509443150651E-3</v>
      </c>
    </row>
    <row r="28" spans="1:9" x14ac:dyDescent="0.3">
      <c r="A28" s="13" t="s">
        <v>4</v>
      </c>
      <c r="B28" s="47"/>
      <c r="C28" s="36">
        <f>SUM('[2]SPM poverty tables'!$G$634:$G$637)/1000</f>
        <v>6175.6729999999998</v>
      </c>
      <c r="D28" s="26">
        <f t="shared" si="14"/>
        <v>0.41486645443045883</v>
      </c>
      <c r="E28" s="36">
        <f>SUM('[3]SPM tables'!$G$634:$G$637)/1000</f>
        <v>6165.4229999999998</v>
      </c>
      <c r="F28" s="26">
        <f t="shared" si="14"/>
        <v>0.41417788475426121</v>
      </c>
      <c r="G28" s="28">
        <f t="shared" si="2"/>
        <v>-10.25</v>
      </c>
      <c r="H28" s="33">
        <f t="shared" si="15"/>
        <v>-7.0000000000000007E-2</v>
      </c>
      <c r="I28" s="26">
        <f>(E28-C28)/C28</f>
        <v>-1.6597381370419063E-3</v>
      </c>
    </row>
    <row r="29" spans="1:9" x14ac:dyDescent="0.3">
      <c r="A29" s="12" t="s">
        <v>26</v>
      </c>
      <c r="B29" s="46"/>
      <c r="C29" s="34"/>
      <c r="D29" s="26"/>
      <c r="E29" s="34"/>
      <c r="F29" s="26"/>
      <c r="G29" s="28"/>
      <c r="H29" s="35"/>
      <c r="I29" s="26"/>
    </row>
    <row r="30" spans="1:9" x14ac:dyDescent="0.3">
      <c r="A30" s="5" t="s">
        <v>6</v>
      </c>
      <c r="B30" s="47">
        <f>('[1]ATTIS Summary Tables'!$J$1033+'[1]ATTIS Summary Tables'!$J$1259)/1000</f>
        <v>10206.14</v>
      </c>
      <c r="C30" s="36"/>
      <c r="D30" s="26"/>
      <c r="E30" s="36"/>
      <c r="F30" s="26"/>
      <c r="G30" s="28"/>
      <c r="H30" s="33"/>
      <c r="I30" s="26"/>
    </row>
    <row r="31" spans="1:9" x14ac:dyDescent="0.3">
      <c r="A31" s="13" t="s">
        <v>1</v>
      </c>
      <c r="B31" s="47"/>
      <c r="C31" s="36">
        <f>('[2]SPM poverty tables'!$D$1033+'[2]SPM poverty tables'!$D$1259)/1000</f>
        <v>492.07299999999998</v>
      </c>
      <c r="D31" s="26">
        <f>C31/$B$30</f>
        <v>4.8213428387225726E-2</v>
      </c>
      <c r="E31" s="36">
        <f>('[3]SPM tables'!$D$1033+'[3]SPM tables'!$D$1259)/1000</f>
        <v>490.62900000000002</v>
      </c>
      <c r="F31" s="26">
        <f>E31/$B$30</f>
        <v>4.8071944927269274E-2</v>
      </c>
      <c r="G31" s="28">
        <f t="shared" si="2"/>
        <v>-1.44399999999996</v>
      </c>
      <c r="H31" s="33">
        <f t="shared" ref="H31:H34" si="16">ROUND((F31-D31)*100,2)</f>
        <v>-0.01</v>
      </c>
      <c r="I31" s="26">
        <f t="shared" ref="I31:I34" si="17">(E31-C31)/C31</f>
        <v>-2.9345239425856732E-3</v>
      </c>
    </row>
    <row r="32" spans="1:9" x14ac:dyDescent="0.3">
      <c r="A32" s="13" t="s">
        <v>2</v>
      </c>
      <c r="B32" s="47"/>
      <c r="C32" s="36">
        <f>('[2]SPM poverty tables'!$E$1033+'[2]SPM poverty tables'!$E$1259)/1000</f>
        <v>1437.4760000000001</v>
      </c>
      <c r="D32" s="26">
        <f t="shared" ref="D32:F34" si="18">C32/$B$30</f>
        <v>0.14084423690053244</v>
      </c>
      <c r="E32" s="36">
        <f>('[3]SPM tables'!$E$1033+'[3]SPM tables'!$E$1259)/1000</f>
        <v>1437.1559999999999</v>
      </c>
      <c r="F32" s="26">
        <f t="shared" si="18"/>
        <v>0.14081288322519581</v>
      </c>
      <c r="G32" s="28">
        <f t="shared" si="2"/>
        <v>-0.32000000000016371</v>
      </c>
      <c r="H32" s="33">
        <f t="shared" si="16"/>
        <v>0</v>
      </c>
      <c r="I32" s="26">
        <f t="shared" si="17"/>
        <v>-2.2261241231169332E-4</v>
      </c>
    </row>
    <row r="33" spans="1:10" x14ac:dyDescent="0.3">
      <c r="A33" s="13" t="s">
        <v>3</v>
      </c>
      <c r="B33" s="47"/>
      <c r="C33" s="36">
        <f>('[2]SPM poverty tables'!$F$1033+'[2]SPM poverty tables'!$F$1259)/1000</f>
        <v>2834.0740000000001</v>
      </c>
      <c r="D33" s="26">
        <f t="shared" si="18"/>
        <v>0.27768323773728365</v>
      </c>
      <c r="E33" s="36">
        <f>('[3]SPM tables'!$F$1033+'[3]SPM tables'!$F$1259)/1000</f>
        <v>2834.0740000000001</v>
      </c>
      <c r="F33" s="26">
        <f t="shared" si="18"/>
        <v>0.27768323773728365</v>
      </c>
      <c r="G33" s="28">
        <f t="shared" si="2"/>
        <v>0</v>
      </c>
      <c r="H33" s="33">
        <f t="shared" si="16"/>
        <v>0</v>
      </c>
      <c r="I33" s="26">
        <f t="shared" si="17"/>
        <v>0</v>
      </c>
    </row>
    <row r="34" spans="1:10" x14ac:dyDescent="0.3">
      <c r="A34" s="13" t="s">
        <v>4</v>
      </c>
      <c r="B34" s="47"/>
      <c r="C34" s="36">
        <f>('[2]SPM poverty tables'!$G$1033+'[2]SPM poverty tables'!$G$1259)/1000</f>
        <v>3935.57</v>
      </c>
      <c r="D34" s="26">
        <f t="shared" si="18"/>
        <v>0.38560807513908296</v>
      </c>
      <c r="E34" s="36">
        <f>('[3]SPM tables'!$G$1033+'[3]SPM tables'!$G$1259)/1000</f>
        <v>3935.43</v>
      </c>
      <c r="F34" s="26">
        <f t="shared" si="18"/>
        <v>0.38559435790612318</v>
      </c>
      <c r="G34" s="28">
        <f t="shared" si="2"/>
        <v>-0.14000000000032742</v>
      </c>
      <c r="H34" s="33">
        <f t="shared" si="16"/>
        <v>0</v>
      </c>
      <c r="I34" s="26">
        <f t="shared" si="17"/>
        <v>-3.5572991968209794E-5</v>
      </c>
    </row>
    <row r="35" spans="1:10" x14ac:dyDescent="0.3">
      <c r="A35" s="12" t="s">
        <v>27</v>
      </c>
      <c r="B35" s="47"/>
      <c r="C35" s="34"/>
      <c r="D35" s="26"/>
      <c r="E35" s="36"/>
      <c r="F35" s="26"/>
      <c r="G35" s="28"/>
      <c r="H35" s="35"/>
      <c r="I35" s="26"/>
    </row>
    <row r="36" spans="1:10" x14ac:dyDescent="0.3">
      <c r="A36" s="5" t="s">
        <v>29</v>
      </c>
      <c r="B36" s="47">
        <f>'[1]ATTIS Summary Tables'!$H$2024/1000</f>
        <v>8135.46</v>
      </c>
      <c r="C36" s="36"/>
      <c r="D36" s="26"/>
      <c r="E36" s="36"/>
      <c r="F36" s="26"/>
      <c r="G36" s="28"/>
      <c r="H36" s="33"/>
      <c r="I36" s="26"/>
    </row>
    <row r="37" spans="1:10" x14ac:dyDescent="0.3">
      <c r="A37" s="13" t="s">
        <v>1</v>
      </c>
      <c r="B37" s="47"/>
      <c r="C37" s="36">
        <f>'[2]SPM poverty tables'!$C$2024/1000</f>
        <v>352.02100000000002</v>
      </c>
      <c r="D37" s="26">
        <f>C37/$B$36</f>
        <v>4.3269956462203739E-2</v>
      </c>
      <c r="E37" s="36">
        <f>'[3]SPM tables'!$C$2024/1000</f>
        <v>348.83</v>
      </c>
      <c r="F37" s="26">
        <f>E37/$B$36</f>
        <v>4.2877722956046735E-2</v>
      </c>
      <c r="G37" s="28">
        <f t="shared" si="2"/>
        <v>-3.1910000000000309</v>
      </c>
      <c r="H37" s="33">
        <f t="shared" ref="H37:H40" si="19">ROUND((F37-D37)*100,2)</f>
        <v>-0.04</v>
      </c>
      <c r="I37" s="26">
        <f t="shared" ref="I37:I40" si="20">(E37-C37)/C37</f>
        <v>-9.0648001113570811E-3</v>
      </c>
      <c r="J37" s="19"/>
    </row>
    <row r="38" spans="1:10" x14ac:dyDescent="0.3">
      <c r="A38" s="13" t="s">
        <v>2</v>
      </c>
      <c r="B38" s="47"/>
      <c r="C38" s="36">
        <f>'[2]SPM poverty tables'!$D$2024/1000</f>
        <v>1517.62</v>
      </c>
      <c r="D38" s="26">
        <f t="shared" ref="D38:F40" si="21">C38/$B$36</f>
        <v>0.18654384632215018</v>
      </c>
      <c r="E38" s="36">
        <f>'[3]SPM tables'!$D$2024/1000</f>
        <v>1469.37</v>
      </c>
      <c r="F38" s="26">
        <f t="shared" si="21"/>
        <v>0.18061302003820312</v>
      </c>
      <c r="G38" s="28">
        <f t="shared" si="2"/>
        <v>-48.25</v>
      </c>
      <c r="H38" s="33">
        <f t="shared" si="19"/>
        <v>-0.59</v>
      </c>
      <c r="I38" s="26">
        <f t="shared" si="20"/>
        <v>-3.1793202514463437E-2</v>
      </c>
      <c r="J38" s="19"/>
    </row>
    <row r="39" spans="1:10" x14ac:dyDescent="0.3">
      <c r="A39" s="13" t="s">
        <v>3</v>
      </c>
      <c r="B39" s="47"/>
      <c r="C39" s="36">
        <f>'[2]SPM poverty tables'!$E$2024/1000</f>
        <v>3401.82</v>
      </c>
      <c r="D39" s="26">
        <f t="shared" si="21"/>
        <v>0.41814722216076289</v>
      </c>
      <c r="E39" s="36">
        <f>'[3]SPM tables'!$E$2024/1000</f>
        <v>3375.29</v>
      </c>
      <c r="F39" s="26">
        <f t="shared" si="21"/>
        <v>0.41488618959468793</v>
      </c>
      <c r="G39" s="28">
        <f t="shared" si="2"/>
        <v>-26.5300000000002</v>
      </c>
      <c r="H39" s="33">
        <f t="shared" si="19"/>
        <v>-0.33</v>
      </c>
      <c r="I39" s="26">
        <f t="shared" si="20"/>
        <v>-7.7987665426154816E-3</v>
      </c>
      <c r="J39" s="19"/>
    </row>
    <row r="40" spans="1:10" x14ac:dyDescent="0.3">
      <c r="A40" s="13" t="s">
        <v>4</v>
      </c>
      <c r="B40" s="47"/>
      <c r="C40" s="36">
        <f>'[2]SPM poverty tables'!$F$2024/1000</f>
        <v>4493.12</v>
      </c>
      <c r="D40" s="26">
        <f t="shared" si="21"/>
        <v>0.5522883770555076</v>
      </c>
      <c r="E40" s="36">
        <f>'[3]SPM tables'!$F$2024/1000</f>
        <v>4489.67</v>
      </c>
      <c r="F40" s="26">
        <f t="shared" si="21"/>
        <v>0.55186430761137051</v>
      </c>
      <c r="G40" s="28">
        <f t="shared" si="2"/>
        <v>-3.4499999999998181</v>
      </c>
      <c r="H40" s="33">
        <f t="shared" si="19"/>
        <v>-0.04</v>
      </c>
      <c r="I40" s="26">
        <f t="shared" si="20"/>
        <v>-7.6784060964314737E-4</v>
      </c>
      <c r="J40" s="19"/>
    </row>
    <row r="41" spans="1:10" x14ac:dyDescent="0.3">
      <c r="A41" s="5" t="s">
        <v>28</v>
      </c>
      <c r="B41" s="47">
        <f>('[1]ATTIS Summary Tables'!$H$2044-'[1]ATTIS Summary Tables'!$H$2024)/1000</f>
        <v>10744.44</v>
      </c>
      <c r="C41" s="36"/>
      <c r="D41" s="26"/>
      <c r="E41" s="36"/>
      <c r="F41" s="26"/>
      <c r="G41" s="28"/>
      <c r="H41" s="45"/>
      <c r="I41" s="26"/>
    </row>
    <row r="42" spans="1:10" x14ac:dyDescent="0.3">
      <c r="A42" s="13" t="s">
        <v>1</v>
      </c>
      <c r="B42" s="47"/>
      <c r="C42" s="36">
        <f>('[2]SPM poverty tables'!$C$2044-'[2]SPM poverty tables'!$C$2024)/1000</f>
        <v>315.53199999999998</v>
      </c>
      <c r="D42" s="37">
        <f>C42/$B$41</f>
        <v>2.9367002840538916E-2</v>
      </c>
      <c r="E42" s="36">
        <f>('[3]SPM tables'!$C$2044-'[3]SPM tables'!$C$2024)/1000</f>
        <v>313.04000000000002</v>
      </c>
      <c r="F42" s="32">
        <f>E42/$B$41</f>
        <v>2.9135068928673808E-2</v>
      </c>
      <c r="G42" s="28">
        <f t="shared" si="2"/>
        <v>-2.4919999999999618</v>
      </c>
      <c r="H42" s="38">
        <f t="shared" ref="H42:H45" si="22">ROUND((F42-D42)*100,2)</f>
        <v>-0.02</v>
      </c>
      <c r="I42" s="26">
        <f t="shared" ref="I42:I45" si="23">(E42-C42)/C42</f>
        <v>-7.8977726506343632E-3</v>
      </c>
    </row>
    <row r="43" spans="1:10" x14ac:dyDescent="0.3">
      <c r="A43" s="13" t="s">
        <v>2</v>
      </c>
      <c r="B43" s="47"/>
      <c r="C43" s="36">
        <f>('[2]SPM poverty tables'!$D$2044-'[2]SPM poverty tables'!$D$2024)/1000</f>
        <v>1039.18</v>
      </c>
      <c r="D43" s="37">
        <f t="shared" ref="D43:F45" si="24">C43/$B$41</f>
        <v>9.6717930390043602E-2</v>
      </c>
      <c r="E43" s="36">
        <f>('[3]SPM tables'!$D$2044-'[3]SPM tables'!$D$2024)/1000</f>
        <v>1022.09</v>
      </c>
      <c r="F43" s="32">
        <f t="shared" si="24"/>
        <v>9.5127340280182118E-2</v>
      </c>
      <c r="G43" s="28">
        <f t="shared" si="2"/>
        <v>-17.090000000000032</v>
      </c>
      <c r="H43" s="38">
        <f>ROUND((F43-D43)*100,2)</f>
        <v>-0.16</v>
      </c>
      <c r="I43" s="26">
        <f t="shared" si="23"/>
        <v>-1.6445659077349479E-2</v>
      </c>
    </row>
    <row r="44" spans="1:10" x14ac:dyDescent="0.3">
      <c r="A44" s="13" t="s">
        <v>3</v>
      </c>
      <c r="B44" s="47"/>
      <c r="C44" s="36">
        <f>('[2]SPM poverty tables'!$E$2044-'[2]SPM poverty tables'!$E$2024)/1000</f>
        <v>2420.9</v>
      </c>
      <c r="D44" s="37">
        <f t="shared" si="24"/>
        <v>0.22531653580828781</v>
      </c>
      <c r="E44" s="36">
        <f>('[3]SPM tables'!$E$2044-'[3]SPM tables'!$E$2024)/1000</f>
        <v>2404.08</v>
      </c>
      <c r="F44" s="32">
        <f t="shared" si="24"/>
        <v>0.22375107497459149</v>
      </c>
      <c r="G44" s="28">
        <f t="shared" si="2"/>
        <v>-16.820000000000164</v>
      </c>
      <c r="H44" s="38">
        <f t="shared" si="22"/>
        <v>-0.16</v>
      </c>
      <c r="I44" s="26">
        <f t="shared" si="23"/>
        <v>-6.9478293196745689E-3</v>
      </c>
    </row>
    <row r="45" spans="1:10" ht="13.5" thickBot="1" x14ac:dyDescent="0.35">
      <c r="A45" s="16" t="s">
        <v>4</v>
      </c>
      <c r="B45" s="48"/>
      <c r="C45" s="36">
        <f>('[2]SPM poverty tables'!$F$2044-'[2]SPM poverty tables'!$F$2024)/1000</f>
        <v>3778.34</v>
      </c>
      <c r="D45" s="40">
        <f t="shared" si="24"/>
        <v>0.35165536779953166</v>
      </c>
      <c r="E45" s="39">
        <f>('[3]SPM tables'!$F$2044-'[3]SPM tables'!$F$2024)/1000</f>
        <v>3761.5</v>
      </c>
      <c r="F45" s="41">
        <f t="shared" si="24"/>
        <v>0.35008804553797124</v>
      </c>
      <c r="G45" s="28">
        <f t="shared" si="2"/>
        <v>-16.840000000000146</v>
      </c>
      <c r="H45" s="43">
        <f t="shared" si="22"/>
        <v>-0.16</v>
      </c>
      <c r="I45" s="26">
        <f t="shared" si="23"/>
        <v>-4.4569837547706517E-3</v>
      </c>
    </row>
    <row r="46" spans="1:10" ht="14.25" customHeight="1" x14ac:dyDescent="0.3">
      <c r="A46" s="75" t="s">
        <v>86</v>
      </c>
      <c r="B46" s="75"/>
      <c r="C46" s="75"/>
      <c r="D46" s="75"/>
      <c r="E46" s="75"/>
      <c r="F46" s="75"/>
      <c r="G46" s="75"/>
      <c r="H46" s="75"/>
      <c r="I46" s="75"/>
    </row>
    <row r="47" spans="1:10" ht="28.5" customHeight="1" x14ac:dyDescent="0.3">
      <c r="A47" s="76" t="s">
        <v>92</v>
      </c>
      <c r="B47" s="76"/>
      <c r="C47" s="76"/>
      <c r="D47" s="76"/>
      <c r="E47" s="76"/>
      <c r="F47" s="76"/>
      <c r="G47" s="76"/>
      <c r="H47" s="76"/>
      <c r="I47" s="76"/>
    </row>
    <row r="48" spans="1:10" x14ac:dyDescent="0.3">
      <c r="C48" s="28"/>
    </row>
    <row r="49" spans="3:3" x14ac:dyDescent="0.3">
      <c r="C49" s="28"/>
    </row>
    <row r="50" spans="3:3" x14ac:dyDescent="0.3">
      <c r="C50" s="28"/>
    </row>
    <row r="51" spans="3:3" x14ac:dyDescent="0.3">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heetViews>
  <sheetFormatPr defaultColWidth="9.1796875" defaultRowHeight="13" x14ac:dyDescent="0.3"/>
  <cols>
    <col min="1" max="1" width="52.4531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79</v>
      </c>
      <c r="B1" s="25"/>
    </row>
    <row r="2" spans="1:9" x14ac:dyDescent="0.3">
      <c r="A2" s="6" t="s">
        <v>134</v>
      </c>
      <c r="B2" s="25"/>
    </row>
    <row r="3" spans="1:9" x14ac:dyDescent="0.3">
      <c r="A3" s="70" t="s">
        <v>145</v>
      </c>
      <c r="B3" s="25"/>
    </row>
    <row r="4" spans="1:9" x14ac:dyDescent="0.3">
      <c r="A4" s="1" t="s">
        <v>112</v>
      </c>
      <c r="E4" s="71"/>
      <c r="F4" s="71"/>
      <c r="G4" s="71"/>
    </row>
    <row r="5" spans="1:9" ht="28.5" customHeight="1" thickBot="1" x14ac:dyDescent="0.35">
      <c r="E5" s="72" t="s">
        <v>140</v>
      </c>
      <c r="F5" s="72"/>
      <c r="G5" s="72"/>
      <c r="H5" s="72"/>
      <c r="I5" s="72"/>
    </row>
    <row r="6" spans="1:9" ht="59"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26"/>
      <c r="G7" s="28"/>
      <c r="H7" s="45"/>
      <c r="I7" s="26"/>
    </row>
    <row r="8" spans="1:9" ht="14.5" x14ac:dyDescent="0.3">
      <c r="A8" s="12" t="s">
        <v>66</v>
      </c>
      <c r="B8" s="46"/>
      <c r="C8" s="34"/>
      <c r="D8" s="26"/>
      <c r="E8" s="34"/>
      <c r="F8" s="26"/>
      <c r="G8" s="28"/>
      <c r="H8" s="35"/>
      <c r="I8" s="26"/>
    </row>
    <row r="9" spans="1:9" x14ac:dyDescent="0.3">
      <c r="A9" s="5" t="s">
        <v>23</v>
      </c>
      <c r="B9" s="47">
        <f>'[1]ATTIS Summary Tables'!$J$619/1000</f>
        <v>1627.8</v>
      </c>
      <c r="C9" s="36"/>
      <c r="D9" s="26"/>
      <c r="E9" s="36"/>
      <c r="F9" s="26"/>
      <c r="G9" s="28"/>
      <c r="H9" s="45"/>
      <c r="I9" s="26"/>
    </row>
    <row r="10" spans="1:9" x14ac:dyDescent="0.3">
      <c r="A10" s="13" t="s">
        <v>1</v>
      </c>
      <c r="B10" s="47"/>
      <c r="C10" s="36">
        <f>'[2]SPM poverty tables'!$D$619/1000</f>
        <v>96.164000000000001</v>
      </c>
      <c r="D10" s="26">
        <f>C10/$B$9</f>
        <v>5.9076053569234552E-2</v>
      </c>
      <c r="E10" s="36">
        <f>'[3]SPM tables'!$D$619/1000</f>
        <v>95.858000000000004</v>
      </c>
      <c r="F10" s="26">
        <f>E10/$B$9</f>
        <v>5.8888069787443181E-2</v>
      </c>
      <c r="G10" s="28">
        <f>E10-C10</f>
        <v>-0.30599999999999739</v>
      </c>
      <c r="H10" s="33">
        <f>ROUND((F10-D10)*100,2)</f>
        <v>-0.02</v>
      </c>
      <c r="I10" s="26">
        <f>(E10-C10)/C10</f>
        <v>-3.1820639740443137E-3</v>
      </c>
    </row>
    <row r="11" spans="1:9" x14ac:dyDescent="0.3">
      <c r="A11" s="13" t="s">
        <v>2</v>
      </c>
      <c r="B11" s="47"/>
      <c r="C11" s="36">
        <f>'[2]SPM poverty tables'!$E$619/1000</f>
        <v>344.77100000000002</v>
      </c>
      <c r="D11" s="26">
        <f t="shared" ref="D11:D13" si="0">C11/$B$9</f>
        <v>0.21180181840520951</v>
      </c>
      <c r="E11" s="36">
        <f>'[3]SPM tables'!$E$619/1000</f>
        <v>334.03699999999998</v>
      </c>
      <c r="F11" s="26">
        <f t="shared" ref="F11:F13" si="1">E11/$B$9</f>
        <v>0.20520764221648852</v>
      </c>
      <c r="G11" s="28">
        <f t="shared" ref="G11:G60" si="2">E11-C11</f>
        <v>-10.734000000000037</v>
      </c>
      <c r="H11" s="33">
        <f t="shared" ref="H11:H13" si="3">ROUND((F11-D11)*100,2)</f>
        <v>-0.66</v>
      </c>
      <c r="I11" s="26">
        <f t="shared" ref="I11:I13" si="4">(E11-C11)/C11</f>
        <v>-3.1133709041653843E-2</v>
      </c>
    </row>
    <row r="12" spans="1:9" x14ac:dyDescent="0.3">
      <c r="A12" s="13" t="s">
        <v>3</v>
      </c>
      <c r="B12" s="47"/>
      <c r="C12" s="36">
        <f>'[2]SPM poverty tables'!$F$619/1000</f>
        <v>662.86699999999996</v>
      </c>
      <c r="D12" s="26">
        <f t="shared" si="0"/>
        <v>0.40721648851210224</v>
      </c>
      <c r="E12" s="36">
        <f>'[3]SPM tables'!$F$619/1000</f>
        <v>659.18200000000002</v>
      </c>
      <c r="F12" s="26">
        <f t="shared" si="1"/>
        <v>0.40495269689151003</v>
      </c>
      <c r="G12" s="28">
        <f t="shared" si="2"/>
        <v>-3.6849999999999454</v>
      </c>
      <c r="H12" s="33">
        <f t="shared" si="3"/>
        <v>-0.23</v>
      </c>
      <c r="I12" s="26">
        <f t="shared" si="4"/>
        <v>-5.5591845724707149E-3</v>
      </c>
    </row>
    <row r="13" spans="1:9" x14ac:dyDescent="0.3">
      <c r="A13" s="13" t="s">
        <v>4</v>
      </c>
      <c r="B13" s="47"/>
      <c r="C13" s="36">
        <f>'[2]SPM poverty tables'!$G$619/1000</f>
        <v>860.298</v>
      </c>
      <c r="D13" s="26">
        <f t="shared" si="0"/>
        <v>0.52850350165868043</v>
      </c>
      <c r="E13" s="36">
        <f>'[3]SPM tables'!$G$619/1000</f>
        <v>858.96400000000006</v>
      </c>
      <c r="F13" s="26">
        <f t="shared" si="1"/>
        <v>0.52768399066224358</v>
      </c>
      <c r="G13" s="28">
        <f t="shared" ref="G13" si="5">E13-C13</f>
        <v>-1.3339999999999463</v>
      </c>
      <c r="H13" s="33">
        <f t="shared" si="3"/>
        <v>-0.08</v>
      </c>
      <c r="I13" s="26">
        <f t="shared" si="4"/>
        <v>-1.5506254809379383E-3</v>
      </c>
    </row>
    <row r="14" spans="1:9" x14ac:dyDescent="0.3">
      <c r="A14" s="5" t="s">
        <v>22</v>
      </c>
      <c r="B14" s="47">
        <f>'[1]ATTIS Summary Tables'!$J$618/1000</f>
        <v>2625.71</v>
      </c>
      <c r="C14" s="36"/>
      <c r="D14" s="26"/>
      <c r="E14" s="36"/>
      <c r="F14" s="26"/>
      <c r="G14" s="28"/>
      <c r="H14" s="45"/>
      <c r="I14" s="26"/>
    </row>
    <row r="15" spans="1:9" x14ac:dyDescent="0.3">
      <c r="A15" s="13" t="s">
        <v>1</v>
      </c>
      <c r="B15" s="47"/>
      <c r="C15" s="36">
        <f>'[2]SPM poverty tables'!$D$618/1000</f>
        <v>112.482</v>
      </c>
      <c r="D15" s="26">
        <f>C15/$B$14</f>
        <v>4.2838698866211423E-2</v>
      </c>
      <c r="E15" s="36">
        <f>'[3]SPM tables'!$D$618/1000</f>
        <v>111.64400000000001</v>
      </c>
      <c r="F15" s="26">
        <f>E15/$B$14</f>
        <v>4.2519547093928883E-2</v>
      </c>
      <c r="G15" s="28">
        <f t="shared" si="2"/>
        <v>-0.83799999999999386</v>
      </c>
      <c r="H15" s="33">
        <f t="shared" ref="H15:H18" si="6">ROUND((F15-D15)*100,2)</f>
        <v>-0.03</v>
      </c>
      <c r="I15" s="26">
        <f t="shared" ref="I15:I18" si="7">(E15-C15)/C15</f>
        <v>-7.4500809018331277E-3</v>
      </c>
    </row>
    <row r="16" spans="1:9" x14ac:dyDescent="0.3">
      <c r="A16" s="13" t="s">
        <v>2</v>
      </c>
      <c r="B16" s="47"/>
      <c r="C16" s="36">
        <f>'[2]SPM poverty tables'!$E$618/1000</f>
        <v>447.202</v>
      </c>
      <c r="D16" s="26">
        <f t="shared" ref="D16:D18" si="8">C16/$B$14</f>
        <v>0.17031660008150176</v>
      </c>
      <c r="E16" s="36">
        <f>'[3]SPM tables'!$E$618/1000</f>
        <v>436.64499999999998</v>
      </c>
      <c r="F16" s="26">
        <f t="shared" ref="F16:F18" si="9">E16/$B$14</f>
        <v>0.16629597327960818</v>
      </c>
      <c r="G16" s="28">
        <f t="shared" si="2"/>
        <v>-10.557000000000016</v>
      </c>
      <c r="H16" s="33">
        <f t="shared" si="6"/>
        <v>-0.4</v>
      </c>
      <c r="I16" s="26">
        <f t="shared" si="7"/>
        <v>-2.360678172280092E-2</v>
      </c>
    </row>
    <row r="17" spans="1:9" x14ac:dyDescent="0.3">
      <c r="A17" s="13" t="s">
        <v>3</v>
      </c>
      <c r="B17" s="47"/>
      <c r="C17" s="36">
        <f>'[2]SPM poverty tables'!$F$618/1000</f>
        <v>1130.75</v>
      </c>
      <c r="D17" s="26">
        <f t="shared" si="8"/>
        <v>0.43064542542778905</v>
      </c>
      <c r="E17" s="36">
        <f>'[3]SPM tables'!$F$618/1000</f>
        <v>1118.8499999999999</v>
      </c>
      <c r="F17" s="26">
        <f t="shared" si="9"/>
        <v>0.42611331792162876</v>
      </c>
      <c r="G17" s="28">
        <f t="shared" si="2"/>
        <v>-11.900000000000091</v>
      </c>
      <c r="H17" s="33">
        <f t="shared" si="6"/>
        <v>-0.45</v>
      </c>
      <c r="I17" s="26">
        <f t="shared" si="7"/>
        <v>-1.0523988503205918E-2</v>
      </c>
    </row>
    <row r="18" spans="1:9" x14ac:dyDescent="0.3">
      <c r="A18" s="13" t="s">
        <v>4</v>
      </c>
      <c r="B18" s="47"/>
      <c r="C18" s="36">
        <f>'[2]SPM poverty tables'!$G$618/1000</f>
        <v>1540.47</v>
      </c>
      <c r="D18" s="26">
        <f t="shared" si="8"/>
        <v>0.58668702941299689</v>
      </c>
      <c r="E18" s="36">
        <f>'[3]SPM tables'!$G$618/1000</f>
        <v>1538.4</v>
      </c>
      <c r="F18" s="26">
        <f t="shared" si="9"/>
        <v>0.58589867121654715</v>
      </c>
      <c r="G18" s="28">
        <f t="shared" si="2"/>
        <v>-2.0699999999999363</v>
      </c>
      <c r="H18" s="33">
        <f t="shared" si="6"/>
        <v>-0.08</v>
      </c>
      <c r="I18" s="26">
        <f t="shared" si="7"/>
        <v>-1.3437457399364716E-3</v>
      </c>
    </row>
    <row r="19" spans="1:9" x14ac:dyDescent="0.3">
      <c r="A19" s="5" t="s">
        <v>24</v>
      </c>
      <c r="B19" s="47">
        <f>'[1]ATTIS Summary Tables'!$J$620/1000</f>
        <v>3645.79</v>
      </c>
      <c r="C19" s="36"/>
      <c r="D19" s="26"/>
      <c r="E19" s="36"/>
      <c r="F19" s="26"/>
      <c r="G19" s="28"/>
      <c r="H19" s="45"/>
      <c r="I19" s="26"/>
    </row>
    <row r="20" spans="1:9" x14ac:dyDescent="0.3">
      <c r="A20" s="13" t="s">
        <v>1</v>
      </c>
      <c r="B20" s="47"/>
      <c r="C20" s="36">
        <f>'[2]SPM poverty tables'!$D$620/1000</f>
        <v>148.34899999999999</v>
      </c>
      <c r="D20" s="26">
        <f>C20/$B$19</f>
        <v>4.0690495064169906E-2</v>
      </c>
      <c r="E20" s="36">
        <f>'[3]SPM tables'!$D$620/1000</f>
        <v>146.709</v>
      </c>
      <c r="F20" s="26">
        <f>E20/$B$19</f>
        <v>4.0240661146143906E-2</v>
      </c>
      <c r="G20" s="28">
        <f t="shared" si="2"/>
        <v>-1.6399999999999864</v>
      </c>
      <c r="H20" s="33">
        <f t="shared" ref="H20:H23" si="10">ROUND((F20-D20)*100,2)</f>
        <v>-0.04</v>
      </c>
      <c r="I20" s="26">
        <f t="shared" ref="I20:I23" si="11">(E20-C20)/C20</f>
        <v>-1.1055012167254154E-2</v>
      </c>
    </row>
    <row r="21" spans="1:9" x14ac:dyDescent="0.3">
      <c r="A21" s="13" t="s">
        <v>2</v>
      </c>
      <c r="B21" s="47"/>
      <c r="C21" s="36">
        <f>'[2]SPM poverty tables'!$E$620/1000</f>
        <v>720.529</v>
      </c>
      <c r="D21" s="26">
        <f t="shared" ref="D21:D23" si="12">C21/$B$19</f>
        <v>0.1976331604398498</v>
      </c>
      <c r="E21" s="36">
        <f>'[3]SPM tables'!$E$620/1000</f>
        <v>695.976</v>
      </c>
      <c r="F21" s="26">
        <f t="shared" ref="F21:F23" si="13">E21/$B$19</f>
        <v>0.19089854325125694</v>
      </c>
      <c r="G21" s="28">
        <f t="shared" si="2"/>
        <v>-24.552999999999997</v>
      </c>
      <c r="H21" s="33">
        <f t="shared" si="10"/>
        <v>-0.67</v>
      </c>
      <c r="I21" s="26">
        <f t="shared" si="11"/>
        <v>-3.4076352235649081E-2</v>
      </c>
    </row>
    <row r="22" spans="1:9" x14ac:dyDescent="0.3">
      <c r="A22" s="13" t="s">
        <v>3</v>
      </c>
      <c r="B22" s="47"/>
      <c r="C22" s="36">
        <f>'[2]SPM poverty tables'!$F$620/1000</f>
        <v>1760.61</v>
      </c>
      <c r="D22" s="26">
        <f t="shared" si="12"/>
        <v>0.48291591122911631</v>
      </c>
      <c r="E22" s="36">
        <f>'[3]SPM tables'!$F$620/1000</f>
        <v>1751.76</v>
      </c>
      <c r="F22" s="26">
        <f t="shared" si="13"/>
        <v>0.48048845380562238</v>
      </c>
      <c r="G22" s="28">
        <f t="shared" si="2"/>
        <v>-8.8499999999999091</v>
      </c>
      <c r="H22" s="33">
        <f t="shared" si="10"/>
        <v>-0.24</v>
      </c>
      <c r="I22" s="26">
        <f t="shared" si="11"/>
        <v>-5.0266668938605992E-3</v>
      </c>
    </row>
    <row r="23" spans="1:9" x14ac:dyDescent="0.3">
      <c r="A23" s="13" t="s">
        <v>4</v>
      </c>
      <c r="B23" s="47"/>
      <c r="C23" s="36">
        <f>'[2]SPM poverty tables'!$G$620/1000</f>
        <v>2395.02</v>
      </c>
      <c r="D23" s="26">
        <f t="shared" si="12"/>
        <v>0.65692757948208758</v>
      </c>
      <c r="E23" s="36">
        <f>'[3]SPM tables'!$G$620/1000</f>
        <v>2390.13</v>
      </c>
      <c r="F23" s="26">
        <f t="shared" si="13"/>
        <v>0.6555863063972418</v>
      </c>
      <c r="G23" s="28">
        <f t="shared" si="2"/>
        <v>-4.8899999999998727</v>
      </c>
      <c r="H23" s="33">
        <f t="shared" si="10"/>
        <v>-0.13</v>
      </c>
      <c r="I23" s="26">
        <f t="shared" si="11"/>
        <v>-2.0417366034521101E-3</v>
      </c>
    </row>
    <row r="24" spans="1:9" x14ac:dyDescent="0.3">
      <c r="A24" s="5" t="s">
        <v>25</v>
      </c>
      <c r="B24" s="47">
        <f>'[1]ATTIS Summary Tables'!$J$617/1000</f>
        <v>10430.799999999999</v>
      </c>
      <c r="C24" s="36"/>
      <c r="D24" s="26"/>
      <c r="E24" s="36"/>
      <c r="F24" s="26"/>
      <c r="G24" s="28"/>
      <c r="H24" s="45"/>
      <c r="I24" s="26"/>
    </row>
    <row r="25" spans="1:9" x14ac:dyDescent="0.3">
      <c r="A25" s="13" t="s">
        <v>1</v>
      </c>
      <c r="B25" s="47"/>
      <c r="C25" s="36">
        <f>'[2]SPM poverty tables'!$D$617/1000</f>
        <v>288.40499999999997</v>
      </c>
      <c r="D25" s="26">
        <f>C25/$B$24</f>
        <v>2.7649365341105188E-2</v>
      </c>
      <c r="E25" s="36">
        <f>'[3]SPM tables'!$D$617/1000</f>
        <v>285.84100000000001</v>
      </c>
      <c r="F25" s="26">
        <f>E25/$B$24</f>
        <v>2.7403554856770335E-2</v>
      </c>
      <c r="G25" s="28">
        <f t="shared" si="2"/>
        <v>-2.5639999999999645</v>
      </c>
      <c r="H25" s="33">
        <f t="shared" ref="H25:H28" si="14">ROUND((F25-D25)*100,2)</f>
        <v>-0.02</v>
      </c>
      <c r="I25" s="26">
        <f t="shared" ref="I25:I28" si="15">(E25-C25)/C25</f>
        <v>-8.8902758273953809E-3</v>
      </c>
    </row>
    <row r="26" spans="1:9" x14ac:dyDescent="0.3">
      <c r="A26" s="13" t="s">
        <v>2</v>
      </c>
      <c r="B26" s="47"/>
      <c r="C26" s="36">
        <f>'[2]SPM poverty tables'!$E$617/1000</f>
        <v>951.55799999999999</v>
      </c>
      <c r="D26" s="26">
        <f t="shared" ref="D26:D28" si="16">C26/$B$24</f>
        <v>9.1225792844268905E-2</v>
      </c>
      <c r="E26" s="36">
        <f>'[3]SPM tables'!$E$617/1000</f>
        <v>932.89499999999998</v>
      </c>
      <c r="F26" s="26">
        <f t="shared" ref="F26:F28" si="17">E26/$B$24</f>
        <v>8.9436572458488323E-2</v>
      </c>
      <c r="G26" s="28">
        <f t="shared" si="2"/>
        <v>-18.663000000000011</v>
      </c>
      <c r="H26" s="33">
        <f t="shared" si="14"/>
        <v>-0.18</v>
      </c>
      <c r="I26" s="26">
        <f t="shared" si="15"/>
        <v>-1.9613097677703317E-2</v>
      </c>
    </row>
    <row r="27" spans="1:9" x14ac:dyDescent="0.3">
      <c r="A27" s="13" t="s">
        <v>3</v>
      </c>
      <c r="B27" s="47"/>
      <c r="C27" s="36">
        <f>'[2]SPM poverty tables'!$F$617/1000</f>
        <v>2077.29</v>
      </c>
      <c r="D27" s="26">
        <f t="shared" si="16"/>
        <v>0.19914963377689152</v>
      </c>
      <c r="E27" s="36">
        <f>'[3]SPM tables'!$F$617/1000</f>
        <v>2059.7600000000002</v>
      </c>
      <c r="F27" s="26">
        <f t="shared" si="17"/>
        <v>0.19746903401464896</v>
      </c>
      <c r="G27" s="28">
        <f t="shared" si="2"/>
        <v>-17.529999999999745</v>
      </c>
      <c r="H27" s="33">
        <f t="shared" si="14"/>
        <v>-0.17</v>
      </c>
      <c r="I27" s="26">
        <f t="shared" si="15"/>
        <v>-8.4388795016582877E-3</v>
      </c>
    </row>
    <row r="28" spans="1:9" x14ac:dyDescent="0.3">
      <c r="A28" s="13" t="s">
        <v>4</v>
      </c>
      <c r="B28" s="47"/>
      <c r="C28" s="36">
        <f>'[2]SPM poverty tables'!$G$617/1000</f>
        <v>3204.86</v>
      </c>
      <c r="D28" s="26">
        <f t="shared" si="16"/>
        <v>0.30724968362925187</v>
      </c>
      <c r="E28" s="36">
        <f>'[3]SPM tables'!$G$617/1000</f>
        <v>3193.56</v>
      </c>
      <c r="F28" s="26">
        <f t="shared" si="17"/>
        <v>0.30616635349158261</v>
      </c>
      <c r="G28" s="28">
        <f t="shared" si="2"/>
        <v>-11.300000000000182</v>
      </c>
      <c r="H28" s="33">
        <f t="shared" si="14"/>
        <v>-0.11</v>
      </c>
      <c r="I28" s="26">
        <f t="shared" si="15"/>
        <v>-3.5258950468975811E-3</v>
      </c>
    </row>
    <row r="29" spans="1:9" x14ac:dyDescent="0.3">
      <c r="A29" s="5" t="s">
        <v>60</v>
      </c>
      <c r="B29" s="47">
        <f>'[1]ATTIS Summary Tables'!$J$621/1000</f>
        <v>549.71500000000003</v>
      </c>
      <c r="C29" s="36"/>
      <c r="D29" s="26"/>
      <c r="E29" s="36"/>
      <c r="F29" s="26"/>
      <c r="G29" s="28"/>
      <c r="H29" s="45"/>
      <c r="I29" s="26"/>
    </row>
    <row r="30" spans="1:9" x14ac:dyDescent="0.3">
      <c r="A30" s="13" t="s">
        <v>1</v>
      </c>
      <c r="B30" s="47"/>
      <c r="C30" s="36">
        <f>'[2]SPM poverty tables'!$D$621/1000</f>
        <v>22.152999999999999</v>
      </c>
      <c r="D30" s="26">
        <f>C30/$B$29</f>
        <v>4.0299064060467689E-2</v>
      </c>
      <c r="E30" s="36">
        <f>'[3]SPM tables'!$D$621/1000</f>
        <v>21.818000000000001</v>
      </c>
      <c r="F30" s="26">
        <f>E30/$B$29</f>
        <v>3.9689657367908825E-2</v>
      </c>
      <c r="G30" s="28">
        <f t="shared" si="2"/>
        <v>-0.3349999999999973</v>
      </c>
      <c r="H30" s="33">
        <f t="shared" ref="H30:H33" si="18">ROUND((F30-D30)*100,2)</f>
        <v>-0.06</v>
      </c>
      <c r="I30" s="26">
        <f t="shared" ref="I30:I33" si="19">(E30-C30)/C30</f>
        <v>-1.5122105358190644E-2</v>
      </c>
    </row>
    <row r="31" spans="1:9" x14ac:dyDescent="0.3">
      <c r="A31" s="13" t="s">
        <v>2</v>
      </c>
      <c r="B31" s="47"/>
      <c r="C31" s="36">
        <f>'[2]SPM poverty tables'!$E$621/1000</f>
        <v>92.742999999999995</v>
      </c>
      <c r="D31" s="26">
        <f t="shared" ref="D31:D33" si="20">C31/$B$29</f>
        <v>0.16871105936712658</v>
      </c>
      <c r="E31" s="36">
        <f>'[3]SPM tables'!$E$621/1000</f>
        <v>91.909000000000006</v>
      </c>
      <c r="F31" s="26">
        <f t="shared" ref="F31:F33" si="21">E31/$B$29</f>
        <v>0.16719390957132332</v>
      </c>
      <c r="G31" s="28">
        <f t="shared" si="2"/>
        <v>-0.83399999999998897</v>
      </c>
      <c r="H31" s="33">
        <f t="shared" si="18"/>
        <v>-0.15</v>
      </c>
      <c r="I31" s="26">
        <f t="shared" si="19"/>
        <v>-8.9925924328519563E-3</v>
      </c>
    </row>
    <row r="32" spans="1:9" x14ac:dyDescent="0.3">
      <c r="A32" s="13" t="s">
        <v>3</v>
      </c>
      <c r="B32" s="47"/>
      <c r="C32" s="36">
        <f>'[2]SPM poverty tables'!$F$621/1000</f>
        <v>191.20500000000001</v>
      </c>
      <c r="D32" s="26">
        <f t="shared" si="20"/>
        <v>0.34782569149468362</v>
      </c>
      <c r="E32" s="36">
        <f>'[3]SPM tables'!$F$621/1000</f>
        <v>189.81899999999999</v>
      </c>
      <c r="F32" s="26">
        <f t="shared" si="21"/>
        <v>0.34530438499949972</v>
      </c>
      <c r="G32" s="28">
        <f t="shared" si="2"/>
        <v>-1.3860000000000241</v>
      </c>
      <c r="H32" s="33">
        <f t="shared" si="18"/>
        <v>-0.25</v>
      </c>
      <c r="I32" s="26">
        <f t="shared" si="19"/>
        <v>-7.2487644151566326E-3</v>
      </c>
    </row>
    <row r="33" spans="1:9" x14ac:dyDescent="0.3">
      <c r="A33" s="13" t="s">
        <v>4</v>
      </c>
      <c r="B33" s="47"/>
      <c r="C33" s="36">
        <f>'[2]SPM poverty tables'!$G$621/1000</f>
        <v>270.80799999999999</v>
      </c>
      <c r="D33" s="26">
        <f t="shared" si="20"/>
        <v>0.4926334555178592</v>
      </c>
      <c r="E33" s="36">
        <f>'[3]SPM tables'!$G$621/1000</f>
        <v>270.11</v>
      </c>
      <c r="F33" s="26">
        <f t="shared" si="21"/>
        <v>0.49136370664799034</v>
      </c>
      <c r="G33" s="28">
        <f t="shared" si="2"/>
        <v>-0.69799999999997908</v>
      </c>
      <c r="H33" s="33">
        <f t="shared" si="18"/>
        <v>-0.13</v>
      </c>
      <c r="I33" s="26">
        <f t="shared" si="19"/>
        <v>-2.5774718619833207E-3</v>
      </c>
    </row>
    <row r="34" spans="1:9" ht="27.5" x14ac:dyDescent="0.3">
      <c r="A34" s="15" t="s">
        <v>95</v>
      </c>
      <c r="B34" s="46"/>
      <c r="C34" s="34"/>
      <c r="D34" s="26"/>
      <c r="E34" s="34"/>
      <c r="F34" s="26"/>
      <c r="G34" s="28"/>
      <c r="H34" s="35"/>
      <c r="I34" s="26"/>
    </row>
    <row r="35" spans="1:9" x14ac:dyDescent="0.3">
      <c r="A35" s="5" t="s">
        <v>67</v>
      </c>
      <c r="B35" s="47">
        <f>'[1]ATTIS Summary Tables'!$J$839/1000</f>
        <v>3993.93</v>
      </c>
      <c r="C35" s="36"/>
      <c r="D35" s="26"/>
      <c r="E35" s="36"/>
      <c r="F35" s="26"/>
      <c r="G35" s="28"/>
      <c r="H35" s="45"/>
      <c r="I35" s="26"/>
    </row>
    <row r="36" spans="1:9" x14ac:dyDescent="0.3">
      <c r="A36" s="5" t="s">
        <v>23</v>
      </c>
      <c r="B36" s="47">
        <f>'[1]ATTIS Summary Tables'!$J$843/1000</f>
        <v>302.55700000000002</v>
      </c>
      <c r="C36" s="36"/>
      <c r="D36" s="26"/>
      <c r="E36" s="36"/>
      <c r="F36" s="26"/>
      <c r="G36" s="28"/>
      <c r="H36" s="45"/>
      <c r="I36" s="26"/>
    </row>
    <row r="37" spans="1:9" x14ac:dyDescent="0.3">
      <c r="A37" s="13" t="s">
        <v>1</v>
      </c>
      <c r="B37" s="47"/>
      <c r="C37" s="36">
        <f>'[2]SPM poverty tables'!$D$843/1000</f>
        <v>9.2430000000000003</v>
      </c>
      <c r="D37" s="26">
        <f>C37/$B$36</f>
        <v>3.0549615444362549E-2</v>
      </c>
      <c r="E37" s="36">
        <f>'[3]SPM tables'!$D$843/1000</f>
        <v>9.2430000000000003</v>
      </c>
      <c r="F37" s="26">
        <f>E37/$B$36</f>
        <v>3.0549615444362549E-2</v>
      </c>
      <c r="G37" s="28">
        <f t="shared" si="2"/>
        <v>0</v>
      </c>
      <c r="H37" s="33">
        <f t="shared" ref="H37:H40" si="22">ROUND((F37-D37)*100,2)</f>
        <v>0</v>
      </c>
      <c r="I37" s="26">
        <f t="shared" ref="I37:I40" si="23">(E37-C37)/C37</f>
        <v>0</v>
      </c>
    </row>
    <row r="38" spans="1:9" x14ac:dyDescent="0.3">
      <c r="A38" s="13" t="s">
        <v>2</v>
      </c>
      <c r="B38" s="47"/>
      <c r="C38" s="36">
        <f>'[2]SPM poverty tables'!$E$843/1000</f>
        <v>55.503</v>
      </c>
      <c r="D38" s="26">
        <f t="shared" ref="D38:D39" si="24">C38/$B$36</f>
        <v>0.18344642497116245</v>
      </c>
      <c r="E38" s="36">
        <f>'[3]SPM tables'!$E$843/1000</f>
        <v>50.512</v>
      </c>
      <c r="F38" s="26">
        <f t="shared" ref="F38:F40" si="25">E38/$B$36</f>
        <v>0.16695035976691994</v>
      </c>
      <c r="G38" s="28">
        <f t="shared" si="2"/>
        <v>-4.9909999999999997</v>
      </c>
      <c r="H38" s="33">
        <f t="shared" si="22"/>
        <v>-1.65</v>
      </c>
      <c r="I38" s="26">
        <f t="shared" si="23"/>
        <v>-8.9923067221591615E-2</v>
      </c>
    </row>
    <row r="39" spans="1:9" x14ac:dyDescent="0.3">
      <c r="A39" s="13" t="s">
        <v>3</v>
      </c>
      <c r="B39" s="47"/>
      <c r="C39" s="36">
        <f>'[2]SPM poverty tables'!$F$843/1000</f>
        <v>134.584</v>
      </c>
      <c r="D39" s="26">
        <f t="shared" si="24"/>
        <v>0.44482196743093033</v>
      </c>
      <c r="E39" s="36">
        <f>'[3]SPM tables'!$F$843/1000</f>
        <v>133.03399999999999</v>
      </c>
      <c r="F39" s="26">
        <f t="shared" si="25"/>
        <v>0.43969896581470591</v>
      </c>
      <c r="G39" s="28">
        <f t="shared" si="2"/>
        <v>-1.5500000000000114</v>
      </c>
      <c r="H39" s="33">
        <f t="shared" si="22"/>
        <v>-0.51</v>
      </c>
      <c r="I39" s="26">
        <f t="shared" si="23"/>
        <v>-1.1516970813766951E-2</v>
      </c>
    </row>
    <row r="40" spans="1:9" x14ac:dyDescent="0.3">
      <c r="A40" s="13" t="s">
        <v>4</v>
      </c>
      <c r="B40" s="47"/>
      <c r="C40" s="36">
        <f>'[2]SPM poverty tables'!$G$843/1000</f>
        <v>176.048</v>
      </c>
      <c r="D40" s="26">
        <f>C40/$B$36</f>
        <v>0.58186721840843214</v>
      </c>
      <c r="E40" s="36">
        <f>'[3]SPM tables'!$G$843/1000</f>
        <v>175.608</v>
      </c>
      <c r="F40" s="26">
        <f t="shared" si="25"/>
        <v>0.58041294698189094</v>
      </c>
      <c r="G40" s="28">
        <f t="shared" si="2"/>
        <v>-0.43999999999999773</v>
      </c>
      <c r="H40" s="33">
        <f t="shared" si="22"/>
        <v>-0.15</v>
      </c>
      <c r="I40" s="26">
        <f t="shared" si="23"/>
        <v>-2.4993183677178821E-3</v>
      </c>
    </row>
    <row r="41" spans="1:9" x14ac:dyDescent="0.3">
      <c r="A41" s="5" t="s">
        <v>22</v>
      </c>
      <c r="B41" s="47">
        <f>'[1]ATTIS Summary Tables'!$J$842/1000</f>
        <v>581.31899999999996</v>
      </c>
      <c r="C41" s="36"/>
      <c r="D41" s="26"/>
      <c r="E41" s="36"/>
      <c r="F41" s="26"/>
      <c r="G41" s="28"/>
      <c r="H41" s="45"/>
      <c r="I41" s="26"/>
    </row>
    <row r="42" spans="1:9" x14ac:dyDescent="0.3">
      <c r="A42" s="13" t="s">
        <v>1</v>
      </c>
      <c r="B42" s="47"/>
      <c r="C42" s="36">
        <f>'[2]SPM poverty tables'!$D$842/1000</f>
        <v>17.120999999999999</v>
      </c>
      <c r="D42" s="26">
        <f>C42/$B$41</f>
        <v>2.9451987635016229E-2</v>
      </c>
      <c r="E42" s="36">
        <f>'[3]SPM tables'!$D$842/1000</f>
        <v>16.835999999999999</v>
      </c>
      <c r="F42" s="26">
        <f>E42/$B$41</f>
        <v>2.8961723253497648E-2</v>
      </c>
      <c r="G42" s="28">
        <f t="shared" si="2"/>
        <v>-0.28500000000000014</v>
      </c>
      <c r="H42" s="33">
        <f t="shared" ref="H42:H45" si="26">ROUND((F42-D42)*100,2)</f>
        <v>-0.05</v>
      </c>
      <c r="I42" s="26">
        <f t="shared" ref="I42:I45" si="27">(E42-C42)/C42</f>
        <v>-1.6646223935517793E-2</v>
      </c>
    </row>
    <row r="43" spans="1:9" x14ac:dyDescent="0.3">
      <c r="A43" s="13" t="s">
        <v>2</v>
      </c>
      <c r="B43" s="47"/>
      <c r="C43" s="36">
        <f>'[2]SPM poverty tables'!$E$842/1000</f>
        <v>90.269000000000005</v>
      </c>
      <c r="D43" s="26">
        <f t="shared" ref="D43:D45" si="28">C43/$B$41</f>
        <v>0.15528307177298525</v>
      </c>
      <c r="E43" s="36">
        <f>'[3]SPM tables'!$E$842/1000</f>
        <v>84.221000000000004</v>
      </c>
      <c r="F43" s="26">
        <f t="shared" ref="F43:F45" si="29">E43/$B$41</f>
        <v>0.14487914552939093</v>
      </c>
      <c r="G43" s="28">
        <f t="shared" si="2"/>
        <v>-6.0480000000000018</v>
      </c>
      <c r="H43" s="33">
        <f t="shared" si="26"/>
        <v>-1.04</v>
      </c>
      <c r="I43" s="26">
        <f t="shared" si="27"/>
        <v>-6.6999745205995428E-2</v>
      </c>
    </row>
    <row r="44" spans="1:9" x14ac:dyDescent="0.3">
      <c r="A44" s="13" t="s">
        <v>3</v>
      </c>
      <c r="B44" s="47"/>
      <c r="C44" s="36">
        <f>'[2]SPM poverty tables'!$F$842/1000</f>
        <v>290.92399999999998</v>
      </c>
      <c r="D44" s="26">
        <f t="shared" si="28"/>
        <v>0.50045499975056729</v>
      </c>
      <c r="E44" s="36">
        <f>'[3]SPM tables'!$F$842/1000</f>
        <v>283.52199999999999</v>
      </c>
      <c r="F44" s="26">
        <f t="shared" si="29"/>
        <v>0.48772188763828467</v>
      </c>
      <c r="G44" s="28">
        <f t="shared" si="2"/>
        <v>-7.4019999999999868</v>
      </c>
      <c r="H44" s="33">
        <f t="shared" si="26"/>
        <v>-1.27</v>
      </c>
      <c r="I44" s="26">
        <f t="shared" si="27"/>
        <v>-2.5443071042609022E-2</v>
      </c>
    </row>
    <row r="45" spans="1:9" x14ac:dyDescent="0.3">
      <c r="A45" s="13" t="s">
        <v>4</v>
      </c>
      <c r="B45" s="47"/>
      <c r="C45" s="36">
        <f>'[2]SPM poverty tables'!$G$842/1000</f>
        <v>400.09300000000002</v>
      </c>
      <c r="D45" s="26">
        <f t="shared" si="28"/>
        <v>0.68825034103478477</v>
      </c>
      <c r="E45" s="36">
        <f>'[3]SPM tables'!$G$842/1000</f>
        <v>399.01299999999998</v>
      </c>
      <c r="F45" s="26">
        <f t="shared" si="29"/>
        <v>0.68639249706271432</v>
      </c>
      <c r="G45" s="28">
        <f t="shared" si="2"/>
        <v>-1.0800000000000409</v>
      </c>
      <c r="H45" s="33">
        <f t="shared" si="26"/>
        <v>-0.19</v>
      </c>
      <c r="I45" s="26">
        <f t="shared" si="27"/>
        <v>-2.6993723959180512E-3</v>
      </c>
    </row>
    <row r="46" spans="1:9" x14ac:dyDescent="0.3">
      <c r="A46" s="5" t="s">
        <v>24</v>
      </c>
      <c r="B46" s="47">
        <f>'[1]ATTIS Summary Tables'!$J$844/1000</f>
        <v>995.53099999999995</v>
      </c>
      <c r="C46" s="36"/>
      <c r="D46" s="26"/>
      <c r="E46" s="36"/>
      <c r="F46" s="26"/>
      <c r="G46" s="28"/>
      <c r="H46" s="45"/>
      <c r="I46" s="26"/>
    </row>
    <row r="47" spans="1:9" x14ac:dyDescent="0.3">
      <c r="A47" s="13" t="s">
        <v>1</v>
      </c>
      <c r="B47" s="47"/>
      <c r="C47" s="36">
        <f>'[2]SPM poverty tables'!$D$844/1000</f>
        <v>28.303000000000001</v>
      </c>
      <c r="D47" s="26">
        <f>C47/$B$46</f>
        <v>2.8430053910927938E-2</v>
      </c>
      <c r="E47" s="36">
        <f>'[3]SPM tables'!$D$844/1000</f>
        <v>27.625</v>
      </c>
      <c r="F47" s="26">
        <f>E47/$B$46</f>
        <v>2.7749010327152043E-2</v>
      </c>
      <c r="G47" s="28">
        <f t="shared" si="2"/>
        <v>-0.67800000000000082</v>
      </c>
      <c r="H47" s="33">
        <f t="shared" ref="H47:H50" si="30">ROUND((F47-D47)*100,2)</f>
        <v>-7.0000000000000007E-2</v>
      </c>
      <c r="I47" s="26">
        <f t="shared" ref="I47:I50" si="31">(E47-C47)/C47</f>
        <v>-2.3955057767727831E-2</v>
      </c>
    </row>
    <row r="48" spans="1:9" x14ac:dyDescent="0.3">
      <c r="A48" s="13" t="s">
        <v>2</v>
      </c>
      <c r="B48" s="47"/>
      <c r="C48" s="36">
        <f>'[2]SPM poverty tables'!$E$844/1000</f>
        <v>202.54900000000001</v>
      </c>
      <c r="D48" s="26">
        <f t="shared" ref="D48:D50" si="32">C48/$B$46</f>
        <v>0.20345825494133282</v>
      </c>
      <c r="E48" s="36">
        <f>'[3]SPM tables'!$E$844/1000</f>
        <v>188.858</v>
      </c>
      <c r="F48" s="26">
        <f t="shared" ref="F48:F50" si="33">E48/$B$46</f>
        <v>0.1897057951987432</v>
      </c>
      <c r="G48" s="28">
        <f t="shared" si="2"/>
        <v>-13.691000000000003</v>
      </c>
      <c r="H48" s="33">
        <f t="shared" si="30"/>
        <v>-1.38</v>
      </c>
      <c r="I48" s="26">
        <f t="shared" si="31"/>
        <v>-6.7593520580205291E-2</v>
      </c>
    </row>
    <row r="49" spans="1:9" x14ac:dyDescent="0.3">
      <c r="A49" s="13" t="s">
        <v>3</v>
      </c>
      <c r="B49" s="47"/>
      <c r="C49" s="36">
        <f>'[2]SPM poverty tables'!$F$844/1000</f>
        <v>530.75300000000004</v>
      </c>
      <c r="D49" s="26">
        <f t="shared" si="32"/>
        <v>0.53313558292006991</v>
      </c>
      <c r="E49" s="36">
        <f>'[3]SPM tables'!$F$844/1000</f>
        <v>525.80600000000004</v>
      </c>
      <c r="F49" s="26">
        <f t="shared" si="33"/>
        <v>0.52816637553225376</v>
      </c>
      <c r="G49" s="28">
        <f t="shared" si="2"/>
        <v>-4.9470000000000027</v>
      </c>
      <c r="H49" s="33">
        <f t="shared" si="30"/>
        <v>-0.5</v>
      </c>
      <c r="I49" s="26">
        <f t="shared" si="31"/>
        <v>-9.3207198075187566E-3</v>
      </c>
    </row>
    <row r="50" spans="1:9" x14ac:dyDescent="0.3">
      <c r="A50" s="13" t="s">
        <v>4</v>
      </c>
      <c r="B50" s="47"/>
      <c r="C50" s="36">
        <f>'[2]SPM poverty tables'!$G$843/1000</f>
        <v>176.048</v>
      </c>
      <c r="D50" s="26">
        <f t="shared" si="32"/>
        <v>0.17683829031943757</v>
      </c>
      <c r="E50" s="36">
        <f>'[3]SPM tables'!$G$843/1000</f>
        <v>175.608</v>
      </c>
      <c r="F50" s="26">
        <f t="shared" si="33"/>
        <v>0.17639631513232637</v>
      </c>
      <c r="G50" s="28">
        <f t="shared" si="2"/>
        <v>-0.43999999999999773</v>
      </c>
      <c r="H50" s="33">
        <f t="shared" si="30"/>
        <v>-0.04</v>
      </c>
      <c r="I50" s="26">
        <f t="shared" si="31"/>
        <v>-2.4993183677178821E-3</v>
      </c>
    </row>
    <row r="51" spans="1:9" x14ac:dyDescent="0.3">
      <c r="A51" s="5" t="s">
        <v>25</v>
      </c>
      <c r="B51" s="47">
        <f>'[1]ATTIS Summary Tables'!$J$841/1000</f>
        <v>1910.53</v>
      </c>
      <c r="C51" s="36"/>
      <c r="D51" s="26"/>
      <c r="E51" s="36"/>
      <c r="F51" s="26"/>
      <c r="G51" s="28"/>
      <c r="H51" s="45"/>
      <c r="I51" s="26"/>
    </row>
    <row r="52" spans="1:9" x14ac:dyDescent="0.3">
      <c r="A52" s="13" t="s">
        <v>1</v>
      </c>
      <c r="B52" s="47"/>
      <c r="C52" s="36">
        <f>'[2]SPM poverty tables'!$D$841/1000</f>
        <v>27.898</v>
      </c>
      <c r="D52" s="26">
        <f>C52/$B$51</f>
        <v>1.4602230794596265E-2</v>
      </c>
      <c r="E52" s="36">
        <f>'[3]SPM tables'!$D$841/1000</f>
        <v>26.748999999999999</v>
      </c>
      <c r="F52" s="26">
        <f>E52/$B$51</f>
        <v>1.4000826995650421E-2</v>
      </c>
      <c r="G52" s="28">
        <f t="shared" si="2"/>
        <v>-1.1490000000000009</v>
      </c>
      <c r="H52" s="33">
        <f t="shared" ref="H52:H55" si="34">ROUND((F52-D52)*100,2)</f>
        <v>-0.06</v>
      </c>
      <c r="I52" s="26">
        <f t="shared" ref="I52:I55" si="35">(E52-C52)/C52</f>
        <v>-4.1185748082299842E-2</v>
      </c>
    </row>
    <row r="53" spans="1:9" x14ac:dyDescent="0.3">
      <c r="A53" s="13" t="s">
        <v>2</v>
      </c>
      <c r="B53" s="47"/>
      <c r="C53" s="36">
        <f>'[2]SPM poverty tables'!$E$841/1000</f>
        <v>176.56100000000001</v>
      </c>
      <c r="D53" s="26">
        <f t="shared" ref="D53:D55" si="36">C53/$B$51</f>
        <v>9.2414670274740526E-2</v>
      </c>
      <c r="E53" s="36">
        <f>'[3]SPM tables'!$E$841/1000</f>
        <v>164.506</v>
      </c>
      <c r="F53" s="26">
        <f t="shared" ref="F53:F55" si="37">E53/$B$51</f>
        <v>8.6104902828011073E-2</v>
      </c>
      <c r="G53" s="28">
        <f t="shared" si="2"/>
        <v>-12.055000000000007</v>
      </c>
      <c r="H53" s="33">
        <f t="shared" si="34"/>
        <v>-0.63</v>
      </c>
      <c r="I53" s="26">
        <f t="shared" si="35"/>
        <v>-6.8276686244414145E-2</v>
      </c>
    </row>
    <row r="54" spans="1:9" x14ac:dyDescent="0.3">
      <c r="A54" s="13" t="s">
        <v>3</v>
      </c>
      <c r="B54" s="47"/>
      <c r="C54" s="36">
        <f>'[2]SPM poverty tables'!$F$841/1000</f>
        <v>442.54300000000001</v>
      </c>
      <c r="D54" s="26">
        <f t="shared" si="36"/>
        <v>0.23163363045856386</v>
      </c>
      <c r="E54" s="36">
        <f>'[3]SPM tables'!$F$841/1000</f>
        <v>432.67700000000002</v>
      </c>
      <c r="F54" s="26">
        <f t="shared" si="37"/>
        <v>0.22646961837814639</v>
      </c>
      <c r="G54" s="28">
        <f t="shared" si="2"/>
        <v>-9.8659999999999854</v>
      </c>
      <c r="H54" s="33">
        <f t="shared" si="34"/>
        <v>-0.52</v>
      </c>
      <c r="I54" s="26">
        <f t="shared" si="35"/>
        <v>-2.2293878786920109E-2</v>
      </c>
    </row>
    <row r="55" spans="1:9" x14ac:dyDescent="0.3">
      <c r="A55" s="13" t="s">
        <v>4</v>
      </c>
      <c r="B55" s="47"/>
      <c r="C55" s="36">
        <f>'[2]SPM poverty tables'!$G$841/1000</f>
        <v>698.625</v>
      </c>
      <c r="D55" s="26">
        <f t="shared" si="36"/>
        <v>0.36567078245303658</v>
      </c>
      <c r="E55" s="36">
        <f>'[3]SPM tables'!$G$841/1000</f>
        <v>692.952</v>
      </c>
      <c r="F55" s="26">
        <f t="shared" si="37"/>
        <v>0.36270144933604814</v>
      </c>
      <c r="G55" s="28">
        <f t="shared" si="2"/>
        <v>-5.6730000000000018</v>
      </c>
      <c r="H55" s="33">
        <f t="shared" si="34"/>
        <v>-0.3</v>
      </c>
      <c r="I55" s="26">
        <f t="shared" si="35"/>
        <v>-8.120236178207195E-3</v>
      </c>
    </row>
    <row r="56" spans="1:9" x14ac:dyDescent="0.3">
      <c r="A56" s="5" t="s">
        <v>60</v>
      </c>
      <c r="B56" s="47">
        <f>'[1]ATTIS Summary Tables'!$J$845/1000</f>
        <v>203.99799999999999</v>
      </c>
      <c r="C56" s="36"/>
      <c r="D56" s="26"/>
      <c r="E56" s="36"/>
      <c r="F56" s="26"/>
      <c r="G56" s="28"/>
      <c r="H56" s="45"/>
      <c r="I56" s="26"/>
    </row>
    <row r="57" spans="1:9" x14ac:dyDescent="0.3">
      <c r="A57" s="13" t="s">
        <v>1</v>
      </c>
      <c r="B57" s="47"/>
      <c r="C57" s="36">
        <f>'[2]SPM poverty tables'!$D$845/1000</f>
        <v>5.5570000000000004</v>
      </c>
      <c r="D57" s="26">
        <f>C57/$B$56</f>
        <v>2.7240463141795512E-2</v>
      </c>
      <c r="E57" s="36">
        <f>'[3]SPM tables'!$D$845/1000</f>
        <v>5.3440000000000003</v>
      </c>
      <c r="F57" s="26">
        <f>E57/$B$56</f>
        <v>2.6196335258188808E-2</v>
      </c>
      <c r="G57" s="28">
        <f t="shared" si="2"/>
        <v>-0.21300000000000008</v>
      </c>
      <c r="H57" s="38">
        <f t="shared" ref="H57:H60" si="38">ROUND((F57-D57)*100,2)</f>
        <v>-0.1</v>
      </c>
      <c r="I57" s="26">
        <f t="shared" ref="I57:I60" si="39">(E57-C57)/C57</f>
        <v>-3.8330034191110321E-2</v>
      </c>
    </row>
    <row r="58" spans="1:9" x14ac:dyDescent="0.3">
      <c r="A58" s="13" t="s">
        <v>2</v>
      </c>
      <c r="B58" s="47"/>
      <c r="C58" s="36">
        <f>'[2]SPM poverty tables'!$E$845/1000</f>
        <v>31.452999999999999</v>
      </c>
      <c r="D58" s="37">
        <f t="shared" ref="D58:D60" si="40">C58/$B$56</f>
        <v>0.15418288414592302</v>
      </c>
      <c r="E58" s="36">
        <f>'[3]SPM tables'!$E$845/1000</f>
        <v>31.007999999999999</v>
      </c>
      <c r="F58" s="32">
        <f t="shared" ref="F58:F60" si="41">E58/$B$56</f>
        <v>0.15200149021068834</v>
      </c>
      <c r="G58" s="28">
        <f t="shared" si="2"/>
        <v>-0.44500000000000028</v>
      </c>
      <c r="H58" s="38">
        <f t="shared" si="38"/>
        <v>-0.22</v>
      </c>
      <c r="I58" s="26">
        <f t="shared" si="39"/>
        <v>-1.4148093981496209E-2</v>
      </c>
    </row>
    <row r="59" spans="1:9" x14ac:dyDescent="0.3">
      <c r="A59" s="13" t="s">
        <v>3</v>
      </c>
      <c r="B59" s="47"/>
      <c r="C59" s="36">
        <f>'[2]SPM poverty tables'!$F$845/1000</f>
        <v>73.986000000000004</v>
      </c>
      <c r="D59" s="37">
        <f t="shared" si="40"/>
        <v>0.36268002627476742</v>
      </c>
      <c r="E59" s="36">
        <f>'[3]SPM tables'!$F$845/1000</f>
        <v>73.308000000000007</v>
      </c>
      <c r="F59" s="32">
        <f t="shared" si="41"/>
        <v>0.35935646427906159</v>
      </c>
      <c r="G59" s="28">
        <f t="shared" si="2"/>
        <v>-0.67799999999999727</v>
      </c>
      <c r="H59" s="38">
        <f t="shared" si="38"/>
        <v>-0.33</v>
      </c>
      <c r="I59" s="26">
        <f t="shared" si="39"/>
        <v>-9.1638958721919992E-3</v>
      </c>
    </row>
    <row r="60" spans="1:9" ht="13.5" thickBot="1" x14ac:dyDescent="0.35">
      <c r="A60" s="16" t="s">
        <v>4</v>
      </c>
      <c r="B60" s="48"/>
      <c r="C60" s="39">
        <f>'[2]SPM poverty tables'!$G$845/1000</f>
        <v>104.681</v>
      </c>
      <c r="D60" s="40">
        <f t="shared" si="40"/>
        <v>0.51314718771752665</v>
      </c>
      <c r="E60" s="39">
        <f>'[3]SPM tables'!$G$845/1000</f>
        <v>104.422</v>
      </c>
      <c r="F60" s="41">
        <f t="shared" si="41"/>
        <v>0.51187756742713164</v>
      </c>
      <c r="G60" s="28">
        <f t="shared" si="2"/>
        <v>-0.25900000000000034</v>
      </c>
      <c r="H60" s="43">
        <f t="shared" si="38"/>
        <v>-0.13</v>
      </c>
      <c r="I60" s="26">
        <f t="shared" si="39"/>
        <v>-2.4741834716901861E-3</v>
      </c>
    </row>
    <row r="61" spans="1:9" ht="12.75" customHeight="1" x14ac:dyDescent="0.3">
      <c r="A61" s="77" t="s">
        <v>86</v>
      </c>
      <c r="B61" s="77"/>
      <c r="C61" s="77"/>
      <c r="D61" s="77"/>
      <c r="E61" s="77"/>
      <c r="F61" s="77"/>
      <c r="G61" s="77"/>
      <c r="H61" s="77"/>
      <c r="I61" s="77"/>
    </row>
    <row r="62" spans="1:9" ht="53.25" customHeight="1" x14ac:dyDescent="0.3">
      <c r="A62" s="74" t="s">
        <v>94</v>
      </c>
      <c r="B62" s="74"/>
      <c r="C62" s="74"/>
      <c r="D62" s="74"/>
      <c r="E62" s="74"/>
      <c r="F62" s="74"/>
      <c r="G62" s="74"/>
      <c r="H62" s="74"/>
      <c r="I62" s="74"/>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heetViews>
  <sheetFormatPr defaultColWidth="9.1796875" defaultRowHeight="13" x14ac:dyDescent="0.3"/>
  <cols>
    <col min="1" max="1" width="48.81640625" style="1" customWidth="1"/>
    <col min="2" max="2" width="12.3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10" x14ac:dyDescent="0.3">
      <c r="A1" s="6" t="s">
        <v>80</v>
      </c>
      <c r="B1" s="25"/>
    </row>
    <row r="2" spans="1:10" x14ac:dyDescent="0.3">
      <c r="A2" s="6" t="s">
        <v>135</v>
      </c>
      <c r="B2" s="25"/>
    </row>
    <row r="3" spans="1:10" x14ac:dyDescent="0.3">
      <c r="A3" s="70" t="s">
        <v>145</v>
      </c>
      <c r="B3" s="25"/>
    </row>
    <row r="4" spans="1:10" x14ac:dyDescent="0.3">
      <c r="A4" s="1" t="s">
        <v>112</v>
      </c>
      <c r="E4" s="71"/>
      <c r="F4" s="71"/>
      <c r="G4" s="71"/>
    </row>
    <row r="5" spans="1:10" ht="28.5" customHeight="1" thickBot="1" x14ac:dyDescent="0.35">
      <c r="E5" s="72" t="s">
        <v>140</v>
      </c>
      <c r="F5" s="72"/>
      <c r="G5" s="72"/>
      <c r="H5" s="72"/>
      <c r="I5" s="72"/>
      <c r="J5" s="17"/>
    </row>
    <row r="6" spans="1:10" ht="56" customHeight="1" thickBot="1" x14ac:dyDescent="0.35">
      <c r="A6" s="3"/>
      <c r="B6" s="18" t="s">
        <v>72</v>
      </c>
      <c r="C6" s="23" t="s">
        <v>100</v>
      </c>
      <c r="D6" s="23" t="s">
        <v>99</v>
      </c>
      <c r="E6" s="24" t="s">
        <v>101</v>
      </c>
      <c r="F6" s="23" t="s">
        <v>98</v>
      </c>
      <c r="G6" s="23" t="s">
        <v>73</v>
      </c>
      <c r="H6" s="23" t="s">
        <v>74</v>
      </c>
      <c r="I6" s="23" t="s">
        <v>77</v>
      </c>
      <c r="J6" s="9"/>
    </row>
    <row r="7" spans="1:10" ht="14.5" x14ac:dyDescent="0.3">
      <c r="A7" s="1" t="s">
        <v>96</v>
      </c>
      <c r="B7" s="49">
        <f>'[1]ATTIS Summary Tables'!$C$172</f>
        <v>8068</v>
      </c>
      <c r="C7" s="50"/>
      <c r="D7" s="51"/>
      <c r="E7" s="50"/>
      <c r="F7" s="52"/>
      <c r="G7" s="28"/>
      <c r="H7" s="45"/>
      <c r="I7" s="26"/>
    </row>
    <row r="8" spans="1:10" ht="14.5" x14ac:dyDescent="0.3">
      <c r="A8" s="12" t="s">
        <v>93</v>
      </c>
      <c r="B8" s="53"/>
      <c r="C8" s="54"/>
      <c r="D8" s="55"/>
      <c r="E8" s="54"/>
      <c r="F8" s="56"/>
      <c r="H8" s="57"/>
    </row>
    <row r="9" spans="1:10" x14ac:dyDescent="0.3">
      <c r="A9" s="5" t="s">
        <v>1</v>
      </c>
      <c r="B9" s="47"/>
      <c r="C9" s="36">
        <f>'[2]SPM poverty tables'!$C$215</f>
        <v>442</v>
      </c>
      <c r="D9" s="37">
        <f>C9/$B$7</f>
        <v>5.4784333168071395E-2</v>
      </c>
      <c r="E9" s="36">
        <f>'[3]SPM tables'!$C$215</f>
        <v>439</v>
      </c>
      <c r="F9" s="32">
        <f>E9/$B$7</f>
        <v>5.4412493802677243E-2</v>
      </c>
      <c r="G9" s="28">
        <f>E9-C9</f>
        <v>-3</v>
      </c>
      <c r="H9" s="33">
        <f>ROUND((F9-D9)*100,2)</f>
        <v>-0.04</v>
      </c>
      <c r="I9" s="26">
        <f>(E9-C9)/C9</f>
        <v>-6.7873303167420816E-3</v>
      </c>
    </row>
    <row r="10" spans="1:10" x14ac:dyDescent="0.3">
      <c r="A10" s="5" t="s">
        <v>2</v>
      </c>
      <c r="B10" s="47"/>
      <c r="C10" s="36">
        <f>SUM('[2]SPM poverty tables'!$C$215:$C$218)</f>
        <v>1308</v>
      </c>
      <c r="D10" s="37">
        <f t="shared" ref="D10:F12" si="0">C10/$B$7</f>
        <v>0.16212196331184928</v>
      </c>
      <c r="E10" s="36">
        <f>SUM('[3]SPM tables'!$C$215:$C$218)</f>
        <v>1293</v>
      </c>
      <c r="F10" s="32">
        <f t="shared" si="0"/>
        <v>0.16026276648487853</v>
      </c>
      <c r="G10" s="28">
        <f t="shared" ref="G10:G46" si="1">E10-C10</f>
        <v>-15</v>
      </c>
      <c r="H10" s="33">
        <f t="shared" ref="H10:H12" si="2">ROUND((F10-D10)*100,2)</f>
        <v>-0.19</v>
      </c>
      <c r="I10" s="26">
        <f t="shared" ref="I10:I12" si="3">(E10-C10)/C10</f>
        <v>-1.1467889908256881E-2</v>
      </c>
    </row>
    <row r="11" spans="1:10" x14ac:dyDescent="0.3">
      <c r="A11" s="5" t="s">
        <v>3</v>
      </c>
      <c r="B11" s="47"/>
      <c r="C11" s="36">
        <f>SUM('[2]SPM poverty tables'!$C$215:$C$220)</f>
        <v>2639</v>
      </c>
      <c r="D11" s="37">
        <f t="shared" si="0"/>
        <v>0.3270946950917204</v>
      </c>
      <c r="E11" s="36">
        <f>SUM('[3]SPM tables'!$C$215:$C$220)</f>
        <v>2628</v>
      </c>
      <c r="F11" s="32">
        <f t="shared" si="0"/>
        <v>0.32573128408527519</v>
      </c>
      <c r="G11" s="28">
        <f t="shared" si="1"/>
        <v>-11</v>
      </c>
      <c r="H11" s="33">
        <f t="shared" si="2"/>
        <v>-0.14000000000000001</v>
      </c>
      <c r="I11" s="26">
        <f t="shared" si="3"/>
        <v>-4.1682455475558922E-3</v>
      </c>
    </row>
    <row r="12" spans="1:10" x14ac:dyDescent="0.3">
      <c r="A12" s="5" t="s">
        <v>4</v>
      </c>
      <c r="B12" s="47"/>
      <c r="C12" s="36">
        <f>SUM('[2]SPM poverty tables'!$C$215:$C$222)</f>
        <v>3570</v>
      </c>
      <c r="D12" s="37">
        <f t="shared" si="0"/>
        <v>0.44248884481903816</v>
      </c>
      <c r="E12" s="36">
        <f>SUM('[3]SPM tables'!$C$215:$C$222)</f>
        <v>3564</v>
      </c>
      <c r="F12" s="32">
        <f t="shared" si="0"/>
        <v>0.44174516608824987</v>
      </c>
      <c r="G12" s="28">
        <f t="shared" si="1"/>
        <v>-6</v>
      </c>
      <c r="H12" s="33">
        <f t="shared" si="2"/>
        <v>-7.0000000000000007E-2</v>
      </c>
      <c r="I12" s="26">
        <f t="shared" si="3"/>
        <v>-1.6806722689075631E-3</v>
      </c>
    </row>
    <row r="13" spans="1:10" x14ac:dyDescent="0.3">
      <c r="A13" s="7" t="s">
        <v>129</v>
      </c>
      <c r="B13" s="47">
        <f>'[1]ATTIS Summary Tables'!$C$172-'[1]ATTIS Summary Tables'!$D$172</f>
        <v>5981</v>
      </c>
      <c r="C13" s="36"/>
      <c r="D13" s="37"/>
      <c r="E13" s="36"/>
      <c r="F13" s="32"/>
      <c r="G13" s="28"/>
      <c r="H13" s="45"/>
      <c r="I13" s="26"/>
    </row>
    <row r="14" spans="1:10" x14ac:dyDescent="0.3">
      <c r="A14" s="12" t="s">
        <v>20</v>
      </c>
      <c r="B14" s="46"/>
      <c r="C14" s="36"/>
      <c r="D14" s="58"/>
      <c r="E14" s="34"/>
      <c r="F14" s="59"/>
      <c r="G14" s="28"/>
      <c r="H14" s="35"/>
      <c r="I14" s="26"/>
    </row>
    <row r="15" spans="1:10" ht="14.25" customHeight="1" x14ac:dyDescent="0.3">
      <c r="A15" s="5" t="s">
        <v>1</v>
      </c>
      <c r="B15" s="47"/>
      <c r="C15" s="36">
        <f>'[2]SPM poverty tables'!$C$215-'[2]SPM poverty tables'!$D$215</f>
        <v>393</v>
      </c>
      <c r="D15" s="37">
        <f>C15/$B$13</f>
        <v>6.5708075572646713E-2</v>
      </c>
      <c r="E15" s="36">
        <f>'[3]SPM tables'!$C$215-'[3]SPM tables'!$D$215</f>
        <v>391</v>
      </c>
      <c r="F15" s="32">
        <f>E15/$B$13</f>
        <v>6.5373683330546731E-2</v>
      </c>
      <c r="G15" s="28">
        <f t="shared" si="1"/>
        <v>-2</v>
      </c>
      <c r="H15" s="33">
        <f t="shared" ref="H15:H18" si="4">ROUND((F15-D15)*100,2)</f>
        <v>-0.03</v>
      </c>
      <c r="I15" s="26">
        <f t="shared" ref="I15:I18" si="5">(E15-C15)/C15</f>
        <v>-5.0890585241730284E-3</v>
      </c>
    </row>
    <row r="16" spans="1:10" x14ac:dyDescent="0.3">
      <c r="A16" s="5" t="s">
        <v>2</v>
      </c>
      <c r="B16" s="47"/>
      <c r="C16" s="36">
        <f>SUM('[2]SPM poverty tables'!$C$215:$C$218)-SUM('[2]SPM poverty tables'!$D$215:$D$218)</f>
        <v>1028</v>
      </c>
      <c r="D16" s="37">
        <f t="shared" ref="D16:F18" si="6">C16/$B$13</f>
        <v>0.1718776124393914</v>
      </c>
      <c r="E16" s="36">
        <f>SUM('[3]SPM tables'!$C$215:$C$218)-SUM('[3]SPM tables'!$D$215:$D$218)</f>
        <v>1028</v>
      </c>
      <c r="F16" s="32">
        <f t="shared" si="6"/>
        <v>0.1718776124393914</v>
      </c>
      <c r="G16" s="28">
        <f t="shared" si="1"/>
        <v>0</v>
      </c>
      <c r="H16" s="33">
        <f t="shared" si="4"/>
        <v>0</v>
      </c>
      <c r="I16" s="26">
        <f t="shared" si="5"/>
        <v>0</v>
      </c>
    </row>
    <row r="17" spans="1:9" x14ac:dyDescent="0.3">
      <c r="A17" s="5" t="s">
        <v>3</v>
      </c>
      <c r="B17" s="47"/>
      <c r="C17" s="36">
        <f>SUM('[2]SPM poverty tables'!$C$215:$C$220)-SUM('[2]SPM poverty tables'!$D$215:$D$220)</f>
        <v>1916</v>
      </c>
      <c r="D17" s="37">
        <f t="shared" si="6"/>
        <v>0.32034776793178399</v>
      </c>
      <c r="E17" s="36">
        <f>SUM('[3]SPM tables'!$C$215:$C$220)-SUM('[3]SPM tables'!$D$215:$D$220)</f>
        <v>1916</v>
      </c>
      <c r="F17" s="32">
        <f t="shared" si="6"/>
        <v>0.32034776793178399</v>
      </c>
      <c r="G17" s="28">
        <f t="shared" si="1"/>
        <v>0</v>
      </c>
      <c r="H17" s="33">
        <f t="shared" si="4"/>
        <v>0</v>
      </c>
      <c r="I17" s="26">
        <f t="shared" si="5"/>
        <v>0</v>
      </c>
    </row>
    <row r="18" spans="1:9" x14ac:dyDescent="0.3">
      <c r="A18" s="5" t="s">
        <v>4</v>
      </c>
      <c r="B18" s="47"/>
      <c r="C18" s="36">
        <f>SUM('[2]SPM poverty tables'!$C$215:$C$222)-SUM('[2]SPM poverty tables'!$D$215:$D$222)</f>
        <v>2532</v>
      </c>
      <c r="D18" s="37">
        <f t="shared" si="6"/>
        <v>0.42334057849857881</v>
      </c>
      <c r="E18" s="36">
        <f>SUM('[3]SPM tables'!$C$215:$C$222)-SUM('[3]SPM tables'!$D$215:$D$222)</f>
        <v>2532</v>
      </c>
      <c r="F18" s="32">
        <f t="shared" si="6"/>
        <v>0.42334057849857881</v>
      </c>
      <c r="G18" s="28">
        <f t="shared" si="1"/>
        <v>0</v>
      </c>
      <c r="H18" s="33">
        <f t="shared" si="4"/>
        <v>0</v>
      </c>
      <c r="I18" s="26">
        <f t="shared" si="5"/>
        <v>0</v>
      </c>
    </row>
    <row r="19" spans="1:9" x14ac:dyDescent="0.3">
      <c r="A19" s="1" t="s">
        <v>69</v>
      </c>
      <c r="B19" s="47">
        <f>'[1]ATTIS Summary Tables'!$D$172</f>
        <v>2087</v>
      </c>
      <c r="C19" s="36"/>
      <c r="D19" s="37"/>
      <c r="E19" s="36"/>
      <c r="F19" s="32"/>
      <c r="G19" s="28"/>
      <c r="H19" s="45"/>
      <c r="I19" s="26"/>
    </row>
    <row r="20" spans="1:9" x14ac:dyDescent="0.3">
      <c r="A20" s="12" t="s">
        <v>20</v>
      </c>
      <c r="B20" s="46"/>
      <c r="C20" s="34"/>
      <c r="D20" s="58"/>
      <c r="E20" s="34"/>
      <c r="F20" s="59"/>
      <c r="G20" s="28"/>
      <c r="H20" s="35"/>
      <c r="I20" s="26"/>
    </row>
    <row r="21" spans="1:9" x14ac:dyDescent="0.3">
      <c r="A21" s="5" t="s">
        <v>1</v>
      </c>
      <c r="B21" s="47"/>
      <c r="C21" s="36">
        <f>'[2]SPM poverty tables'!$D$215</f>
        <v>49</v>
      </c>
      <c r="D21" s="37">
        <f>C21/$B$19</f>
        <v>2.3478677527551509E-2</v>
      </c>
      <c r="E21" s="36">
        <f>'[3]SPM tables'!$D$215</f>
        <v>48</v>
      </c>
      <c r="F21" s="32">
        <f>E21/$B$19</f>
        <v>2.2999520843315763E-2</v>
      </c>
      <c r="G21" s="28">
        <f t="shared" si="1"/>
        <v>-1</v>
      </c>
      <c r="H21" s="33">
        <f t="shared" ref="H21:H24" si="7">ROUND((F21-D21)*100,2)</f>
        <v>-0.05</v>
      </c>
      <c r="I21" s="26">
        <f t="shared" ref="I21:I24" si="8">(E21-C21)/C21</f>
        <v>-2.0408163265306121E-2</v>
      </c>
    </row>
    <row r="22" spans="1:9" x14ac:dyDescent="0.3">
      <c r="A22" s="5" t="s">
        <v>2</v>
      </c>
      <c r="B22" s="47"/>
      <c r="C22" s="36">
        <f>SUM('[2]SPM poverty tables'!$D$215:$D$218)</f>
        <v>280</v>
      </c>
      <c r="D22" s="37">
        <f t="shared" ref="D22:F24" si="9">C22/$B$19</f>
        <v>0.13416387158600862</v>
      </c>
      <c r="E22" s="36">
        <f>SUM('[3]SPM tables'!$D$215:$D$218)</f>
        <v>265</v>
      </c>
      <c r="F22" s="32">
        <f t="shared" si="9"/>
        <v>0.12697652132247245</v>
      </c>
      <c r="G22" s="28">
        <f t="shared" si="1"/>
        <v>-15</v>
      </c>
      <c r="H22" s="33">
        <f t="shared" si="7"/>
        <v>-0.72</v>
      </c>
      <c r="I22" s="26">
        <f t="shared" si="8"/>
        <v>-5.3571428571428568E-2</v>
      </c>
    </row>
    <row r="23" spans="1:9" x14ac:dyDescent="0.3">
      <c r="A23" s="5" t="s">
        <v>3</v>
      </c>
      <c r="B23" s="47"/>
      <c r="C23" s="36">
        <f>SUM('[2]SPM poverty tables'!$D$215:$D$220)</f>
        <v>723</v>
      </c>
      <c r="D23" s="37">
        <f t="shared" si="9"/>
        <v>0.34643028270244369</v>
      </c>
      <c r="E23" s="36">
        <f>SUM('[3]SPM tables'!$D$215:$D$220)</f>
        <v>712</v>
      </c>
      <c r="F23" s="32">
        <f t="shared" si="9"/>
        <v>0.3411595591758505</v>
      </c>
      <c r="G23" s="28">
        <f t="shared" si="1"/>
        <v>-11</v>
      </c>
      <c r="H23" s="33">
        <f t="shared" si="7"/>
        <v>-0.53</v>
      </c>
      <c r="I23" s="26">
        <f t="shared" si="8"/>
        <v>-1.5214384508990318E-2</v>
      </c>
    </row>
    <row r="24" spans="1:9" x14ac:dyDescent="0.3">
      <c r="A24" s="5" t="s">
        <v>4</v>
      </c>
      <c r="B24" s="47"/>
      <c r="C24" s="36">
        <f>SUM('[2]SPM poverty tables'!$D$215:$D$222)</f>
        <v>1038</v>
      </c>
      <c r="D24" s="37">
        <f t="shared" si="9"/>
        <v>0.4973646382367034</v>
      </c>
      <c r="E24" s="36">
        <f>SUM('[3]SPM tables'!$D$215:$D$222)</f>
        <v>1032</v>
      </c>
      <c r="F24" s="32">
        <f t="shared" si="9"/>
        <v>0.49448969813128896</v>
      </c>
      <c r="G24" s="28">
        <f t="shared" si="1"/>
        <v>-6</v>
      </c>
      <c r="H24" s="33">
        <f t="shared" si="7"/>
        <v>-0.28999999999999998</v>
      </c>
      <c r="I24" s="26">
        <f t="shared" si="8"/>
        <v>-5.7803468208092483E-3</v>
      </c>
    </row>
    <row r="25" spans="1:9" x14ac:dyDescent="0.3">
      <c r="A25" s="12" t="s">
        <v>26</v>
      </c>
      <c r="B25" s="46"/>
      <c r="C25" s="34"/>
      <c r="D25" s="58"/>
      <c r="E25" s="34"/>
      <c r="F25" s="59"/>
      <c r="G25" s="28"/>
      <c r="H25" s="45"/>
      <c r="I25" s="26"/>
    </row>
    <row r="26" spans="1:9" x14ac:dyDescent="0.3">
      <c r="A26" s="5" t="s">
        <v>7</v>
      </c>
      <c r="B26" s="47">
        <f>'[1]ATTIS Summary Tables'!$D$172-'[1]ATTIS Summary Tables'!$G$172-'[1]ATTIS Summary Tables'!$H$172</f>
        <v>1326</v>
      </c>
      <c r="C26" s="36"/>
      <c r="D26" s="37"/>
      <c r="E26" s="36"/>
      <c r="F26" s="32"/>
      <c r="G26" s="28"/>
      <c r="H26" s="45"/>
      <c r="I26" s="26"/>
    </row>
    <row r="27" spans="1:9" x14ac:dyDescent="0.3">
      <c r="A27" s="13" t="s">
        <v>1</v>
      </c>
      <c r="B27" s="47"/>
      <c r="C27" s="36">
        <f>'[2]SPM poverty tables'!$D$215-'[2]SPM poverty tables'!$G$215-'[2]SPM poverty tables'!$H$215</f>
        <v>16</v>
      </c>
      <c r="D27" s="37">
        <f>C27/$B$26</f>
        <v>1.2066365007541479E-2</v>
      </c>
      <c r="E27" s="36">
        <f>'[3]SPM tables'!$D$215-'[3]SPM tables'!$G$215-'[3]SPM tables'!$H$215</f>
        <v>15</v>
      </c>
      <c r="F27" s="32">
        <f>E27/$B$26</f>
        <v>1.1312217194570135E-2</v>
      </c>
      <c r="G27" s="28">
        <f t="shared" si="1"/>
        <v>-1</v>
      </c>
      <c r="H27" s="33">
        <f t="shared" ref="H27:H30" si="10">ROUND((F27-D27)*100,2)</f>
        <v>-0.08</v>
      </c>
      <c r="I27" s="26">
        <f t="shared" ref="I27:I30" si="11">(E27-C27)/C27</f>
        <v>-6.25E-2</v>
      </c>
    </row>
    <row r="28" spans="1:9" x14ac:dyDescent="0.3">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104</v>
      </c>
      <c r="F28" s="32">
        <f t="shared" si="12"/>
        <v>7.8431372549019607E-2</v>
      </c>
      <c r="G28" s="28">
        <f t="shared" si="1"/>
        <v>-9</v>
      </c>
      <c r="H28" s="33">
        <f t="shared" si="10"/>
        <v>-0.68</v>
      </c>
      <c r="I28" s="26">
        <f t="shared" si="11"/>
        <v>-7.9646017699115043E-2</v>
      </c>
    </row>
    <row r="29" spans="1:9" x14ac:dyDescent="0.3">
      <c r="A29" s="13" t="s">
        <v>3</v>
      </c>
      <c r="B29" s="47"/>
      <c r="C29" s="36">
        <f>SUM('[2]SPM poverty tables'!$D$215:$D$220)-SUM('[2]SPM poverty tables'!$G$215:$G$220)-SUM('[2]SPM poverty tables'!$H$215:$H$220)</f>
        <v>318</v>
      </c>
      <c r="D29" s="37">
        <f t="shared" si="12"/>
        <v>0.23981900452488689</v>
      </c>
      <c r="E29" s="36">
        <f>SUM('[3]SPM tables'!$D$215:$D$220)-SUM('[3]SPM tables'!$G$215:$G$220)-SUM('[3]SPM tables'!$H$215:$H$220)</f>
        <v>309</v>
      </c>
      <c r="F29" s="32">
        <f t="shared" si="12"/>
        <v>0.2330316742081448</v>
      </c>
      <c r="G29" s="28">
        <f t="shared" si="1"/>
        <v>-9</v>
      </c>
      <c r="H29" s="33">
        <f t="shared" si="10"/>
        <v>-0.68</v>
      </c>
      <c r="I29" s="26">
        <f t="shared" si="11"/>
        <v>-2.8301886792452831E-2</v>
      </c>
    </row>
    <row r="30" spans="1:9" x14ac:dyDescent="0.3">
      <c r="A30" s="13" t="s">
        <v>4</v>
      </c>
      <c r="B30" s="47"/>
      <c r="C30" s="36">
        <f>SUM('[2]SPM poverty tables'!$D$215:$D$222)-SUM('[2]SPM poverty tables'!$G$215:$G$222)-SUM('[2]SPM poverty tables'!$H$215:$H$222)</f>
        <v>495</v>
      </c>
      <c r="D30" s="37">
        <f t="shared" si="12"/>
        <v>0.37330316742081449</v>
      </c>
      <c r="E30" s="36">
        <f>SUM('[3]SPM tables'!$D$215:$D$222)-SUM('[3]SPM tables'!$G$215:$G$222)-SUM('[3]SPM tables'!$H$215:$H$222)</f>
        <v>488</v>
      </c>
      <c r="F30" s="32">
        <f t="shared" si="12"/>
        <v>0.36802413273001511</v>
      </c>
      <c r="G30" s="28">
        <f t="shared" si="1"/>
        <v>-7</v>
      </c>
      <c r="H30" s="33">
        <f t="shared" si="10"/>
        <v>-0.53</v>
      </c>
      <c r="I30" s="26">
        <f t="shared" si="11"/>
        <v>-1.4141414141414142E-2</v>
      </c>
    </row>
    <row r="31" spans="1:9" x14ac:dyDescent="0.3">
      <c r="A31" s="5" t="s">
        <v>102</v>
      </c>
      <c r="B31" s="47">
        <f>'[1]ATTIS Summary Tables'!$G$172+'[1]ATTIS Summary Tables'!$H$172</f>
        <v>761</v>
      </c>
      <c r="C31" s="36"/>
      <c r="D31" s="37"/>
      <c r="E31" s="36"/>
      <c r="F31" s="32"/>
      <c r="G31" s="28"/>
      <c r="H31" s="45"/>
      <c r="I31" s="26"/>
    </row>
    <row r="32" spans="1:9" x14ac:dyDescent="0.3">
      <c r="A32" s="13" t="s">
        <v>1</v>
      </c>
      <c r="B32" s="47"/>
      <c r="C32" s="36">
        <f>SUM('[2]SPM poverty tables'!$G$215:$H$215)</f>
        <v>33</v>
      </c>
      <c r="D32" s="37">
        <f>C32/$B$31</f>
        <v>4.3363994743758211E-2</v>
      </c>
      <c r="E32" s="36">
        <f>SUM('[3]SPM tables'!$G$215:$H$215)</f>
        <v>33</v>
      </c>
      <c r="F32" s="32">
        <f>E32/$B$31</f>
        <v>4.3363994743758211E-2</v>
      </c>
      <c r="G32" s="28">
        <f t="shared" si="1"/>
        <v>0</v>
      </c>
      <c r="H32" s="33">
        <f t="shared" ref="H32:H35" si="13">ROUND((F32-D32)*100,2)</f>
        <v>0</v>
      </c>
      <c r="I32" s="26">
        <f t="shared" ref="I32:I35" si="14">(E32-C32)/C32</f>
        <v>0</v>
      </c>
    </row>
    <row r="33" spans="1:9" x14ac:dyDescent="0.3">
      <c r="A33" s="13" t="s">
        <v>2</v>
      </c>
      <c r="B33" s="47"/>
      <c r="C33" s="36">
        <f>SUM('[2]SPM poverty tables'!$G$215:$H$218)</f>
        <v>167</v>
      </c>
      <c r="D33" s="37">
        <f t="shared" ref="D33:F35" si="15">C33/$B$31</f>
        <v>0.21944809461235218</v>
      </c>
      <c r="E33" s="36">
        <f>SUM('[3]SPM tables'!$G$215:$H$218)</f>
        <v>161</v>
      </c>
      <c r="F33" s="32">
        <f t="shared" si="15"/>
        <v>0.21156373193166886</v>
      </c>
      <c r="G33" s="28">
        <f t="shared" si="1"/>
        <v>-6</v>
      </c>
      <c r="H33" s="33">
        <f t="shared" si="13"/>
        <v>-0.79</v>
      </c>
      <c r="I33" s="26">
        <f t="shared" si="14"/>
        <v>-3.5928143712574849E-2</v>
      </c>
    </row>
    <row r="34" spans="1:9" x14ac:dyDescent="0.3">
      <c r="A34" s="13" t="s">
        <v>3</v>
      </c>
      <c r="B34" s="47"/>
      <c r="C34" s="36">
        <f>SUM('[2]SPM poverty tables'!$G$215:$H$220)</f>
        <v>405</v>
      </c>
      <c r="D34" s="37">
        <f t="shared" si="15"/>
        <v>0.53219448094612354</v>
      </c>
      <c r="E34" s="36">
        <f>SUM('[3]SPM tables'!$G$215:$H$220)</f>
        <v>403</v>
      </c>
      <c r="F34" s="32">
        <f t="shared" si="15"/>
        <v>0.52956636005256241</v>
      </c>
      <c r="G34" s="28">
        <f t="shared" si="1"/>
        <v>-2</v>
      </c>
      <c r="H34" s="33">
        <f t="shared" si="13"/>
        <v>-0.26</v>
      </c>
      <c r="I34" s="26">
        <f t="shared" si="14"/>
        <v>-4.9382716049382715E-3</v>
      </c>
    </row>
    <row r="35" spans="1:9" x14ac:dyDescent="0.3">
      <c r="A35" s="13" t="s">
        <v>4</v>
      </c>
      <c r="B35" s="47"/>
      <c r="C35" s="36">
        <f>SUM('[2]SPM poverty tables'!$G$215:$H$222)</f>
        <v>543</v>
      </c>
      <c r="D35" s="37">
        <f t="shared" si="15"/>
        <v>0.71353482260183965</v>
      </c>
      <c r="E35" s="36">
        <f>SUM('[3]SPM tables'!$G$215:$H$222)</f>
        <v>544</v>
      </c>
      <c r="F35" s="32">
        <f t="shared" si="15"/>
        <v>0.71484888304862026</v>
      </c>
      <c r="G35" s="28">
        <f t="shared" si="1"/>
        <v>1</v>
      </c>
      <c r="H35" s="33">
        <f t="shared" si="13"/>
        <v>0.13</v>
      </c>
      <c r="I35" s="26">
        <f t="shared" si="14"/>
        <v>1.841620626151013E-3</v>
      </c>
    </row>
    <row r="36" spans="1:9" x14ac:dyDescent="0.3">
      <c r="A36" s="12" t="s">
        <v>68</v>
      </c>
      <c r="B36" s="46"/>
      <c r="C36" s="34"/>
      <c r="D36" s="37"/>
      <c r="E36" s="34"/>
      <c r="F36" s="32"/>
      <c r="G36" s="28"/>
      <c r="H36" s="45"/>
      <c r="I36" s="26"/>
    </row>
    <row r="37" spans="1:9" x14ac:dyDescent="0.3">
      <c r="A37" s="5" t="s">
        <v>28</v>
      </c>
      <c r="B37" s="47">
        <f>('[1]ATTIS Summary Tables'!$H$2651-'[1]ATTIS Summary Tables'!$H$2631)/1000</f>
        <v>1213.3720000000001</v>
      </c>
      <c r="C37" s="36"/>
      <c r="D37" s="37"/>
      <c r="E37" s="36"/>
      <c r="F37" s="32"/>
      <c r="G37" s="28"/>
      <c r="H37" s="45"/>
      <c r="I37" s="26"/>
    </row>
    <row r="38" spans="1:9" x14ac:dyDescent="0.3">
      <c r="A38" s="13" t="s">
        <v>1</v>
      </c>
      <c r="B38" s="47"/>
      <c r="C38" s="36">
        <f>('[2]SPM poverty tables'!$C$2651-'[2]SPM poverty tables'!$C$2631)/1000</f>
        <v>23.302</v>
      </c>
      <c r="D38" s="37">
        <f>C38/$B$37</f>
        <v>1.9204333048727016E-2</v>
      </c>
      <c r="E38" s="36">
        <f>('[3]SPM tables'!$C$2651-'[3]SPM tables'!$C$2631)/1000</f>
        <v>22.718</v>
      </c>
      <c r="F38" s="32">
        <f>E38/$B$37</f>
        <v>1.8723029705646741E-2</v>
      </c>
      <c r="G38" s="28">
        <f t="shared" si="1"/>
        <v>-0.58399999999999963</v>
      </c>
      <c r="H38" s="33">
        <f t="shared" ref="H38:H41" si="16">ROUND((F38-D38)*100,2)</f>
        <v>-0.05</v>
      </c>
      <c r="I38" s="26">
        <f t="shared" ref="I38:I41" si="17">(E38-C38)/C38</f>
        <v>-2.5062226418333174E-2</v>
      </c>
    </row>
    <row r="39" spans="1:9" x14ac:dyDescent="0.3">
      <c r="A39" s="13" t="s">
        <v>2</v>
      </c>
      <c r="B39" s="47"/>
      <c r="C39" s="36">
        <f>('[2]SPM poverty tables'!$D$2651-'[2]SPM poverty tables'!$D$2631)/1000</f>
        <v>114.416</v>
      </c>
      <c r="D39" s="37">
        <f t="shared" ref="D39:F41" si="18">C39/$B$37</f>
        <v>9.4295896064850671E-2</v>
      </c>
      <c r="E39" s="36">
        <f>('[3]SPM tables'!$D$2651-'[3]SPM tables'!$D$2631)/1000</f>
        <v>110.85599999999999</v>
      </c>
      <c r="F39" s="32">
        <f t="shared" si="18"/>
        <v>9.1361923631005162E-2</v>
      </c>
      <c r="G39" s="28">
        <f t="shared" si="1"/>
        <v>-3.5600000000000023</v>
      </c>
      <c r="H39" s="33">
        <f t="shared" si="16"/>
        <v>-0.28999999999999998</v>
      </c>
      <c r="I39" s="26">
        <f t="shared" si="17"/>
        <v>-3.1114529436442478E-2</v>
      </c>
    </row>
    <row r="40" spans="1:9" x14ac:dyDescent="0.3">
      <c r="A40" s="13" t="s">
        <v>3</v>
      </c>
      <c r="B40" s="47"/>
      <c r="C40" s="36">
        <f>('[2]SPM poverty tables'!$E$2651-'[2]SPM poverty tables'!$E$2631)/1000</f>
        <v>305.04700000000003</v>
      </c>
      <c r="D40" s="37">
        <f t="shared" si="18"/>
        <v>0.25140435085035751</v>
      </c>
      <c r="E40" s="36">
        <f>('[3]SPM tables'!$E$2651-'[3]SPM tables'!$E$2631)/1000</f>
        <v>300.35599999999999</v>
      </c>
      <c r="F40" s="32">
        <f t="shared" si="18"/>
        <v>0.24753826526407399</v>
      </c>
      <c r="G40" s="28">
        <f t="shared" si="1"/>
        <v>-4.6910000000000309</v>
      </c>
      <c r="H40" s="33">
        <f t="shared" si="16"/>
        <v>-0.39</v>
      </c>
      <c r="I40" s="26">
        <f t="shared" si="17"/>
        <v>-1.5377958150711302E-2</v>
      </c>
    </row>
    <row r="41" spans="1:9" x14ac:dyDescent="0.3">
      <c r="A41" s="13" t="s">
        <v>4</v>
      </c>
      <c r="B41" s="47"/>
      <c r="C41" s="36">
        <f>('[2]SPM poverty tables'!$F$2651-'[2]SPM poverty tables'!$F$2631)/1000</f>
        <v>486</v>
      </c>
      <c r="D41" s="37">
        <f t="shared" si="18"/>
        <v>0.4005366861935169</v>
      </c>
      <c r="E41" s="36">
        <f>('[3]SPM tables'!$F$2651-'[3]SPM tables'!$F$2631)/1000</f>
        <v>481.69099999999997</v>
      </c>
      <c r="F41" s="32">
        <f t="shared" si="18"/>
        <v>0.39698542573917972</v>
      </c>
      <c r="G41" s="28">
        <f t="shared" si="1"/>
        <v>-4.3090000000000259</v>
      </c>
      <c r="H41" s="33">
        <f t="shared" si="16"/>
        <v>-0.36</v>
      </c>
      <c r="I41" s="26">
        <f t="shared" si="17"/>
        <v>-8.8662551440329748E-3</v>
      </c>
    </row>
    <row r="42" spans="1:9" x14ac:dyDescent="0.3">
      <c r="A42" s="5" t="s">
        <v>29</v>
      </c>
      <c r="B42" s="47">
        <f>'[1]ATTIS Summary Tables'!$H$2631/1000</f>
        <v>874.05799999999999</v>
      </c>
      <c r="C42" s="36"/>
      <c r="D42" s="37"/>
      <c r="E42" s="36"/>
      <c r="F42" s="32"/>
      <c r="G42" s="28"/>
      <c r="H42" s="45"/>
      <c r="I42" s="26"/>
    </row>
    <row r="43" spans="1:9" x14ac:dyDescent="0.3">
      <c r="A43" s="13" t="s">
        <v>1</v>
      </c>
      <c r="B43" s="47"/>
      <c r="C43" s="36">
        <f>'[2]SPM poverty tables'!$C$2631/1000</f>
        <v>25.779</v>
      </c>
      <c r="D43" s="37">
        <f>C43/$B$42</f>
        <v>2.9493466108656406E-2</v>
      </c>
      <c r="E43" s="36">
        <f>'[3]SPM tables'!$C$2631/1000</f>
        <v>25.14</v>
      </c>
      <c r="F43" s="32">
        <f>E43/$B$42</f>
        <v>2.8762393342318244E-2</v>
      </c>
      <c r="G43" s="28">
        <f t="shared" si="1"/>
        <v>-0.63899999999999935</v>
      </c>
      <c r="H43" s="38">
        <f t="shared" ref="H43:H46" si="19">ROUND((F43-D43)*100,2)</f>
        <v>-7.0000000000000007E-2</v>
      </c>
      <c r="I43" s="32">
        <f t="shared" ref="I43:I46" si="20">(E43-C43)/C43</f>
        <v>-2.4787617828465003E-2</v>
      </c>
    </row>
    <row r="44" spans="1:9" x14ac:dyDescent="0.3">
      <c r="A44" s="13" t="s">
        <v>2</v>
      </c>
      <c r="B44" s="47"/>
      <c r="C44" s="36">
        <f>'[2]SPM poverty tables'!$D$2631/1000</f>
        <v>165.648</v>
      </c>
      <c r="D44" s="37">
        <f t="shared" ref="D44:F46" si="21">C44/$B$42</f>
        <v>0.18951602754050645</v>
      </c>
      <c r="E44" s="36">
        <f>'[3]SPM tables'!$D$2631/1000</f>
        <v>154.499</v>
      </c>
      <c r="F44" s="32">
        <f t="shared" si="21"/>
        <v>0.17676058110560169</v>
      </c>
      <c r="G44" s="28">
        <f t="shared" si="1"/>
        <v>-11.149000000000001</v>
      </c>
      <c r="H44" s="38">
        <f t="shared" si="19"/>
        <v>-1.28</v>
      </c>
      <c r="I44" s="32">
        <f t="shared" si="20"/>
        <v>-6.7305370424031688E-2</v>
      </c>
    </row>
    <row r="45" spans="1:9" x14ac:dyDescent="0.3">
      <c r="A45" s="13" t="s">
        <v>3</v>
      </c>
      <c r="B45" s="47"/>
      <c r="C45" s="36">
        <f>'[2]SPM poverty tables'!$E$2631/1000</f>
        <v>418.18700000000001</v>
      </c>
      <c r="D45" s="37">
        <f t="shared" si="21"/>
        <v>0.47844307814813208</v>
      </c>
      <c r="E45" s="36">
        <f>'[3]SPM tables'!$E$2631/1000</f>
        <v>412.41</v>
      </c>
      <c r="F45" s="32">
        <f t="shared" si="21"/>
        <v>0.47183367694134715</v>
      </c>
      <c r="G45" s="28">
        <f t="shared" si="1"/>
        <v>-5.7769999999999868</v>
      </c>
      <c r="H45" s="38">
        <f t="shared" si="19"/>
        <v>-0.66</v>
      </c>
      <c r="I45" s="32">
        <f t="shared" si="20"/>
        <v>-1.3814394039030354E-2</v>
      </c>
    </row>
    <row r="46" spans="1:9" ht="13.5" thickBot="1" x14ac:dyDescent="0.35">
      <c r="A46" s="16" t="s">
        <v>4</v>
      </c>
      <c r="B46" s="48"/>
      <c r="C46" s="39">
        <f>'[2]SPM poverty tables'!$F$2631/1000</f>
        <v>552.22</v>
      </c>
      <c r="D46" s="40">
        <f t="shared" si="21"/>
        <v>0.6317887371318609</v>
      </c>
      <c r="E46" s="39">
        <f>'[3]SPM tables'!$F$2631/1000</f>
        <v>551.48900000000003</v>
      </c>
      <c r="F46" s="41">
        <f t="shared" si="21"/>
        <v>0.63095240819259135</v>
      </c>
      <c r="G46" s="28">
        <f t="shared" si="1"/>
        <v>-0.73099999999999454</v>
      </c>
      <c r="H46" s="43">
        <f t="shared" si="19"/>
        <v>-0.08</v>
      </c>
      <c r="I46" s="41">
        <f t="shared" si="20"/>
        <v>-1.323747781681204E-3</v>
      </c>
    </row>
    <row r="47" spans="1:9" ht="15" customHeight="1" x14ac:dyDescent="0.3">
      <c r="A47" s="75" t="s">
        <v>86</v>
      </c>
      <c r="B47" s="75"/>
      <c r="C47" s="75"/>
      <c r="D47" s="75"/>
      <c r="E47" s="75"/>
      <c r="F47" s="75"/>
      <c r="G47" s="75"/>
      <c r="H47" s="75"/>
      <c r="I47" s="75"/>
    </row>
    <row r="48" spans="1:9" ht="27" customHeight="1" x14ac:dyDescent="0.3">
      <c r="A48" s="76" t="s">
        <v>92</v>
      </c>
      <c r="B48" s="76"/>
      <c r="C48" s="76"/>
      <c r="D48" s="76"/>
      <c r="E48" s="76"/>
      <c r="F48" s="76"/>
      <c r="G48" s="76"/>
      <c r="H48" s="76"/>
      <c r="I48" s="76"/>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796875" defaultRowHeight="13" x14ac:dyDescent="0.3"/>
  <cols>
    <col min="1" max="1" width="66.453125" style="1" customWidth="1"/>
    <col min="2" max="2" width="14.6328125" style="17" customWidth="1"/>
    <col min="3" max="3" width="9.1796875" style="1" customWidth="1"/>
    <col min="4" max="4" width="9.1796875" style="1"/>
    <col min="5" max="5" width="9.1796875" style="1" customWidth="1"/>
    <col min="6" max="16384" width="9.1796875" style="1"/>
  </cols>
  <sheetData>
    <row r="1" spans="1:2" x14ac:dyDescent="0.3">
      <c r="A1" s="6" t="s">
        <v>82</v>
      </c>
    </row>
    <row r="2" spans="1:2" x14ac:dyDescent="0.3">
      <c r="A2" s="6" t="s">
        <v>136</v>
      </c>
    </row>
    <row r="3" spans="1:2" x14ac:dyDescent="0.3">
      <c r="A3" s="70" t="s">
        <v>145</v>
      </c>
    </row>
    <row r="4" spans="1:2" x14ac:dyDescent="0.3">
      <c r="A4" s="1" t="s">
        <v>113</v>
      </c>
    </row>
    <row r="5" spans="1:2" ht="63.75" customHeight="1" thickBot="1" x14ac:dyDescent="0.35">
      <c r="A5" s="3"/>
      <c r="B5" s="23" t="s">
        <v>140</v>
      </c>
    </row>
    <row r="6" spans="1:2" x14ac:dyDescent="0.3">
      <c r="A6" s="1" t="s">
        <v>81</v>
      </c>
      <c r="B6" s="9"/>
    </row>
    <row r="7" spans="1:2" x14ac:dyDescent="0.3">
      <c r="A7" s="12" t="s">
        <v>8</v>
      </c>
      <c r="B7" s="28">
        <f>+(B8+B10)</f>
        <v>7446.57</v>
      </c>
    </row>
    <row r="8" spans="1:2" x14ac:dyDescent="0.3">
      <c r="A8" s="12" t="s">
        <v>9</v>
      </c>
      <c r="B8" s="28">
        <f>(+'[4]hh count total'!$B$8+'[4]hh count total'!$B$9)/1000</f>
        <v>2081.886</v>
      </c>
    </row>
    <row r="9" spans="1:2" x14ac:dyDescent="0.3">
      <c r="A9" s="12" t="s">
        <v>10</v>
      </c>
      <c r="B9" s="28">
        <f>+('[4]hh count total'!$B$8)/1000</f>
        <v>781.66399999999999</v>
      </c>
    </row>
    <row r="10" spans="1:2" x14ac:dyDescent="0.3">
      <c r="A10" s="12" t="s">
        <v>11</v>
      </c>
      <c r="B10" s="28">
        <f>(+'[4]hh count total'!$B$10)/1000</f>
        <v>5364.6840000000002</v>
      </c>
    </row>
    <row r="11" spans="1:2" x14ac:dyDescent="0.3">
      <c r="A11" s="1" t="s">
        <v>31</v>
      </c>
    </row>
    <row r="12" spans="1:2" x14ac:dyDescent="0.3">
      <c r="A12" s="12" t="s">
        <v>32</v>
      </c>
      <c r="B12" s="17" t="s">
        <v>63</v>
      </c>
    </row>
    <row r="13" spans="1:2" x14ac:dyDescent="0.3">
      <c r="A13" s="5" t="s">
        <v>8</v>
      </c>
      <c r="B13" s="28">
        <f>'[3]CustomOutput (table 5)'!$D$13/1000</f>
        <v>730.08500000000004</v>
      </c>
    </row>
    <row r="14" spans="1:2" x14ac:dyDescent="0.3">
      <c r="A14" s="5" t="s">
        <v>9</v>
      </c>
      <c r="B14" s="28">
        <f>'[3]CustomOutput (table 5)'!$D$14/1000</f>
        <v>717.23500000000001</v>
      </c>
    </row>
    <row r="15" spans="1:2" x14ac:dyDescent="0.3">
      <c r="A15" s="5" t="s">
        <v>10</v>
      </c>
      <c r="B15" s="28">
        <f>'[3]CustomOutput (table 5)'!$D$15/1000</f>
        <v>665.7</v>
      </c>
    </row>
    <row r="16" spans="1:2" x14ac:dyDescent="0.3">
      <c r="A16" s="5" t="s">
        <v>11</v>
      </c>
      <c r="B16" s="28">
        <f>'[3]CustomOutput (table 5)'!$D$16/1000</f>
        <v>12.85</v>
      </c>
    </row>
    <row r="17" spans="1:2" x14ac:dyDescent="0.3">
      <c r="A17" s="12" t="s">
        <v>33</v>
      </c>
    </row>
    <row r="18" spans="1:2" x14ac:dyDescent="0.3">
      <c r="A18" s="5" t="s">
        <v>8</v>
      </c>
      <c r="B18" s="29">
        <f>IF(B13=0,"--",'[3]CustomOutput (table 5)'!$D$17/'[3]CustomOutput (table 5)'!$D$13)</f>
        <v>781.51996000465704</v>
      </c>
    </row>
    <row r="19" spans="1:2" x14ac:dyDescent="0.3">
      <c r="A19" s="5" t="s">
        <v>9</v>
      </c>
      <c r="B19" s="29">
        <f>IF(B14=0,"--",'[3]CustomOutput (table 5)'!$D$18/'[3]CustomOutput (table 5)'!$D$14)</f>
        <v>775.42785837277881</v>
      </c>
    </row>
    <row r="20" spans="1:2" x14ac:dyDescent="0.3">
      <c r="A20" s="5" t="s">
        <v>10</v>
      </c>
      <c r="B20" s="29">
        <f>IF(B15=0,"--",'[3]CustomOutput (table 5)'!$D$19/'[3]CustomOutput (table 5)'!$D$15)</f>
        <v>692.02794051374497</v>
      </c>
    </row>
    <row r="21" spans="1:2" x14ac:dyDescent="0.3">
      <c r="A21" s="5" t="s">
        <v>11</v>
      </c>
      <c r="B21" s="29">
        <f>IF(B16=0,"--",'[3]CustomOutput (table 5)'!$D$20/'[3]CustomOutput (table 5)'!$D$16)</f>
        <v>1121.5564202334631</v>
      </c>
    </row>
    <row r="22" spans="1:2" x14ac:dyDescent="0.3">
      <c r="A22" s="1" t="s">
        <v>35</v>
      </c>
    </row>
    <row r="23" spans="1:2" x14ac:dyDescent="0.3">
      <c r="A23" s="12" t="s">
        <v>36</v>
      </c>
    </row>
    <row r="24" spans="1:2" x14ac:dyDescent="0.3">
      <c r="A24" s="5" t="s">
        <v>8</v>
      </c>
      <c r="B24" s="28">
        <f>+(B25+B27)</f>
        <v>36.558</v>
      </c>
    </row>
    <row r="25" spans="1:2" x14ac:dyDescent="0.3">
      <c r="A25" s="5" t="s">
        <v>9</v>
      </c>
      <c r="B25" s="28">
        <f>('[3]CustomOutput (table 5)'!$D$22)/1000</f>
        <v>29.105</v>
      </c>
    </row>
    <row r="26" spans="1:2" x14ac:dyDescent="0.3">
      <c r="A26" s="5" t="s">
        <v>10</v>
      </c>
      <c r="B26" s="28">
        <f>'[3]CustomOutput (table 5)'!$D$23/1000</f>
        <v>2.855</v>
      </c>
    </row>
    <row r="27" spans="1:2" x14ac:dyDescent="0.3">
      <c r="A27" s="5" t="s">
        <v>11</v>
      </c>
      <c r="B27" s="69">
        <f>'[3]CustomOutput (table 5)'!$D$24/1000</f>
        <v>7.4530000000000003</v>
      </c>
    </row>
    <row r="28" spans="1:2" x14ac:dyDescent="0.3">
      <c r="A28" s="12" t="s">
        <v>34</v>
      </c>
    </row>
    <row r="29" spans="1:2" x14ac:dyDescent="0.3">
      <c r="A29" s="5" t="s">
        <v>8</v>
      </c>
      <c r="B29" s="29">
        <f>IF(B24=0,"--",'[3]CustomOutput (table 5)'!$D$25/'[3]CustomOutput (table 5)'!$D$21)</f>
        <v>-256.9492313583894</v>
      </c>
    </row>
    <row r="30" spans="1:2" x14ac:dyDescent="0.3">
      <c r="A30" s="5" t="s">
        <v>9</v>
      </c>
      <c r="B30" s="29">
        <f>IF(B25=0,"--",'[3]CustomOutput (table 5)'!$D$26/'[3]CustomOutput (table 5)'!$D$22)</f>
        <v>-318.87888678921149</v>
      </c>
    </row>
    <row r="31" spans="1:2" x14ac:dyDescent="0.3">
      <c r="A31" s="5" t="s">
        <v>10</v>
      </c>
      <c r="B31" s="29">
        <f>IF(B26=0,"--",'[3]CustomOutput (table 5)'!$D$27/'[3]CustomOutput (table 5)'!$D$23)</f>
        <v>-480.42031523642731</v>
      </c>
    </row>
    <row r="32" spans="1:2" ht="13.5" thickBot="1" x14ac:dyDescent="0.35">
      <c r="A32" s="14" t="s">
        <v>11</v>
      </c>
      <c r="B32" s="29">
        <f>IF(B27=0,"--",'[3]CustomOutput (table 5)'!$D$28/'[3]CustomOutput (table 5)'!$D$24)</f>
        <v>-15.104790017442641</v>
      </c>
    </row>
    <row r="33" spans="1:5" ht="28.5" customHeight="1" x14ac:dyDescent="0.3">
      <c r="A33" s="75" t="s">
        <v>86</v>
      </c>
      <c r="B33" s="75"/>
    </row>
    <row r="34" spans="1:5" ht="40.5" customHeight="1" x14ac:dyDescent="0.3">
      <c r="A34" s="74" t="s">
        <v>121</v>
      </c>
      <c r="B34" s="74"/>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796875" defaultRowHeight="13" x14ac:dyDescent="0.3"/>
  <cols>
    <col min="1" max="1" width="50.36328125" style="1" customWidth="1"/>
    <col min="2" max="2" width="12.453125" style="17" customWidth="1"/>
    <col min="3" max="4" width="14.6328125" style="17" customWidth="1"/>
    <col min="5" max="16384" width="9.1796875" style="1"/>
  </cols>
  <sheetData>
    <row r="1" spans="1:4" x14ac:dyDescent="0.3">
      <c r="A1" s="6" t="s">
        <v>83</v>
      </c>
      <c r="B1" s="25"/>
    </row>
    <row r="2" spans="1:4" x14ac:dyDescent="0.3">
      <c r="A2" s="6" t="s">
        <v>137</v>
      </c>
      <c r="B2" s="25"/>
    </row>
    <row r="3" spans="1:4" x14ac:dyDescent="0.3">
      <c r="A3" s="70" t="s">
        <v>145</v>
      </c>
      <c r="B3" s="25"/>
    </row>
    <row r="4" spans="1:4" x14ac:dyDescent="0.3">
      <c r="A4" s="1" t="s">
        <v>124</v>
      </c>
    </row>
    <row r="5" spans="1:4" ht="39.5" thickBot="1" x14ac:dyDescent="0.35">
      <c r="A5" s="3"/>
      <c r="B5" s="23" t="s">
        <v>0</v>
      </c>
      <c r="C5" s="23" t="s">
        <v>73</v>
      </c>
      <c r="D5" s="23" t="s">
        <v>77</v>
      </c>
    </row>
    <row r="6" spans="1:4" ht="14.5" x14ac:dyDescent="0.3">
      <c r="A6" s="1" t="s">
        <v>122</v>
      </c>
    </row>
    <row r="7" spans="1:4" x14ac:dyDescent="0.3">
      <c r="A7" s="12" t="s">
        <v>13</v>
      </c>
      <c r="B7" s="28">
        <f>+'[4]emp by hh cat'!$B$11/1000</f>
        <v>10245.791999999999</v>
      </c>
    </row>
    <row r="8" spans="1:4" x14ac:dyDescent="0.3">
      <c r="A8" s="12" t="s">
        <v>14</v>
      </c>
      <c r="B8" s="28"/>
    </row>
    <row r="9" spans="1:4" x14ac:dyDescent="0.3">
      <c r="A9" s="12" t="s">
        <v>15</v>
      </c>
    </row>
    <row r="10" spans="1:4" x14ac:dyDescent="0.3">
      <c r="A10" s="12" t="s">
        <v>16</v>
      </c>
    </row>
    <row r="11" spans="1:4" x14ac:dyDescent="0.3">
      <c r="A11" s="1" t="s">
        <v>12</v>
      </c>
    </row>
    <row r="12" spans="1:4" x14ac:dyDescent="0.3">
      <c r="A12" s="12" t="s">
        <v>13</v>
      </c>
      <c r="B12" s="66" t="s">
        <v>39</v>
      </c>
    </row>
    <row r="13" spans="1:4" x14ac:dyDescent="0.3">
      <c r="A13" s="12" t="s">
        <v>14</v>
      </c>
      <c r="B13" s="66" t="s">
        <v>39</v>
      </c>
    </row>
    <row r="14" spans="1:4" x14ac:dyDescent="0.3">
      <c r="A14" s="12" t="s">
        <v>15</v>
      </c>
      <c r="B14" s="66" t="s">
        <v>39</v>
      </c>
    </row>
    <row r="15" spans="1:4" x14ac:dyDescent="0.3">
      <c r="A15" s="12" t="s">
        <v>16</v>
      </c>
      <c r="B15" s="66" t="s">
        <v>39</v>
      </c>
    </row>
    <row r="16" spans="1:4" x14ac:dyDescent="0.3">
      <c r="A16" s="1" t="s">
        <v>17</v>
      </c>
    </row>
    <row r="17" spans="1:5" x14ac:dyDescent="0.3">
      <c r="A17" s="12" t="s">
        <v>14</v>
      </c>
      <c r="B17" s="66" t="s">
        <v>39</v>
      </c>
    </row>
    <row r="18" spans="1:5" x14ac:dyDescent="0.3">
      <c r="A18" s="12" t="s">
        <v>15</v>
      </c>
      <c r="B18" s="66" t="s">
        <v>39</v>
      </c>
    </row>
    <row r="19" spans="1:5" ht="13.5" thickBot="1" x14ac:dyDescent="0.35">
      <c r="A19" s="22" t="s">
        <v>16</v>
      </c>
      <c r="B19" s="67" t="s">
        <v>39</v>
      </c>
      <c r="C19" s="61"/>
      <c r="D19" s="61"/>
    </row>
    <row r="20" spans="1:5" ht="28.5" customHeight="1" x14ac:dyDescent="0.3">
      <c r="A20" s="75" t="s">
        <v>86</v>
      </c>
      <c r="B20" s="75"/>
      <c r="C20" s="75"/>
      <c r="D20" s="75"/>
    </row>
    <row r="21" spans="1:5" x14ac:dyDescent="0.3">
      <c r="A21" s="74" t="s">
        <v>123</v>
      </c>
      <c r="B21" s="74"/>
      <c r="C21" s="74"/>
      <c r="D21" s="74"/>
      <c r="E21" s="74"/>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796875" defaultRowHeight="13" x14ac:dyDescent="0.3"/>
  <cols>
    <col min="1" max="1" width="56.81640625" style="1" customWidth="1"/>
    <col min="2" max="3" width="12.6328125" style="17" customWidth="1"/>
    <col min="4" max="4" width="13.1796875" style="17" customWidth="1"/>
    <col min="5" max="5" width="14" style="17" customWidth="1"/>
    <col min="6" max="7" width="9.1796875" style="1"/>
    <col min="8" max="8" width="9.81640625" style="1" bestFit="1" customWidth="1"/>
    <col min="9" max="16384" width="9.1796875" style="1"/>
  </cols>
  <sheetData>
    <row r="1" spans="1:7" x14ac:dyDescent="0.3">
      <c r="A1" s="6" t="s">
        <v>84</v>
      </c>
      <c r="B1" s="25"/>
      <c r="C1" s="25"/>
      <c r="D1" s="25"/>
      <c r="E1" s="25"/>
      <c r="F1" s="1" t="s">
        <v>63</v>
      </c>
    </row>
    <row r="2" spans="1:7" x14ac:dyDescent="0.3">
      <c r="A2" s="6" t="s">
        <v>138</v>
      </c>
      <c r="B2" s="25"/>
      <c r="C2" s="25"/>
      <c r="D2" s="25"/>
      <c r="E2" s="25"/>
    </row>
    <row r="3" spans="1:7" x14ac:dyDescent="0.3">
      <c r="A3" s="70" t="s">
        <v>145</v>
      </c>
      <c r="B3" s="25"/>
      <c r="C3" s="25"/>
      <c r="D3" s="25"/>
      <c r="E3" s="25"/>
    </row>
    <row r="4" spans="1:7" x14ac:dyDescent="0.3">
      <c r="A4" s="1" t="s">
        <v>114</v>
      </c>
      <c r="B4" s="17" t="s">
        <v>63</v>
      </c>
    </row>
    <row r="5" spans="1:7" ht="29.25" customHeight="1" thickBot="1" x14ac:dyDescent="0.35">
      <c r="C5" s="78" t="s">
        <v>140</v>
      </c>
      <c r="D5" s="78"/>
      <c r="E5" s="78"/>
    </row>
    <row r="6" spans="1:7" ht="41" thickBot="1" x14ac:dyDescent="0.35">
      <c r="A6" s="3"/>
      <c r="B6" s="23" t="s">
        <v>130</v>
      </c>
      <c r="C6" s="23" t="s">
        <v>131</v>
      </c>
      <c r="D6" s="23" t="s">
        <v>73</v>
      </c>
      <c r="E6" s="23" t="s">
        <v>77</v>
      </c>
    </row>
    <row r="7" spans="1:7" x14ac:dyDescent="0.3">
      <c r="A7" s="1" t="s">
        <v>40</v>
      </c>
      <c r="B7" s="26"/>
      <c r="C7" s="26"/>
      <c r="D7" s="26"/>
    </row>
    <row r="8" spans="1:7" x14ac:dyDescent="0.3">
      <c r="A8" s="12" t="s">
        <v>41</v>
      </c>
      <c r="B8" s="27">
        <f>'[2]key results (script)'!$B$303/1000</f>
        <v>376.85700000000003</v>
      </c>
      <c r="C8" s="27">
        <f>'[3]Script (key results)'!$B$303/1000</f>
        <v>376.85700000000003</v>
      </c>
      <c r="D8" s="28">
        <f>C8-B8</f>
        <v>0</v>
      </c>
      <c r="E8" s="26">
        <f>(C8-B8)/B8</f>
        <v>0</v>
      </c>
    </row>
    <row r="9" spans="1:7" x14ac:dyDescent="0.3">
      <c r="A9" s="12" t="s">
        <v>42</v>
      </c>
      <c r="B9" s="29">
        <f>'[2]key results (script)'!$B$304/1000000</f>
        <v>1904.9406719999999</v>
      </c>
      <c r="C9" s="29">
        <f>'[3]Script (key results)'!$B$304/1000000</f>
        <v>1904.9406719999999</v>
      </c>
      <c r="D9" s="29">
        <f>C9-B9</f>
        <v>0</v>
      </c>
      <c r="E9" s="26">
        <f>(C9-B9)/B9</f>
        <v>0</v>
      </c>
    </row>
    <row r="10" spans="1:7" x14ac:dyDescent="0.3">
      <c r="A10" s="4"/>
      <c r="G10" s="62"/>
    </row>
    <row r="11" spans="1:7" ht="14.5" x14ac:dyDescent="0.3">
      <c r="A11" s="1" t="s">
        <v>110</v>
      </c>
    </row>
    <row r="12" spans="1:7" x14ac:dyDescent="0.3">
      <c r="A12" s="12" t="s">
        <v>108</v>
      </c>
      <c r="B12" s="28">
        <f>+('[2]key results (script)'!$B$271+'[2]key results (script)'!$B$267)/1000</f>
        <v>601.52200000000005</v>
      </c>
      <c r="C12" s="28">
        <f>+('[3]Script (key results)'!$B$271+'[3]Script (key results)'!$B$267)/1000</f>
        <v>601.52200000000005</v>
      </c>
      <c r="D12" s="28">
        <f>C12-B12</f>
        <v>0</v>
      </c>
      <c r="E12" s="26">
        <f>(C12-B12)/B12</f>
        <v>0</v>
      </c>
    </row>
    <row r="13" spans="1:7" x14ac:dyDescent="0.3">
      <c r="A13" s="12" t="s">
        <v>109</v>
      </c>
      <c r="B13" s="29">
        <f>+('[2]key results (script)'!$B$266+'[2]key results (script)'!$B$268)/1000000</f>
        <v>4160.5646079999997</v>
      </c>
      <c r="C13" s="29">
        <f>+('[3]Script (key results)'!$B$266+'[3]Script (key results)'!$B$268)/1000000</f>
        <v>4160.5646079999997</v>
      </c>
      <c r="D13" s="29">
        <f>C13-B13</f>
        <v>0</v>
      </c>
      <c r="E13" s="26">
        <f>(C13-B13)/B13</f>
        <v>0</v>
      </c>
      <c r="F13" s="10"/>
    </row>
    <row r="14" spans="1:7" x14ac:dyDescent="0.3">
      <c r="A14" s="4"/>
    </row>
    <row r="15" spans="1:7" ht="26" x14ac:dyDescent="0.3">
      <c r="A15" s="11" t="s">
        <v>43</v>
      </c>
    </row>
    <row r="16" spans="1:7" x14ac:dyDescent="0.3">
      <c r="A16" s="12" t="s">
        <v>44</v>
      </c>
      <c r="B16" s="28">
        <f>SUM('[2]key results (script)'!$B$296,'[2]key results (script)'!$B$298)/1000</f>
        <v>120.907</v>
      </c>
      <c r="C16" s="28">
        <f>SUM('[3]Script (key results)'!$B$296,'[3]Script (key results)'!$B$298)/1000</f>
        <v>142.03800000000001</v>
      </c>
      <c r="D16" s="28">
        <f>C16-B16</f>
        <v>21.131000000000014</v>
      </c>
      <c r="E16" s="26">
        <f>(C16-B16)/B16</f>
        <v>0.17477069152323699</v>
      </c>
      <c r="F16" s="10"/>
    </row>
    <row r="17" spans="1:6" x14ac:dyDescent="0.3">
      <c r="A17" s="12" t="s">
        <v>45</v>
      </c>
      <c r="B17" s="29">
        <f>'[2]key results (script)'!$B$297/1000000</f>
        <v>816.16134399999999</v>
      </c>
      <c r="C17" s="29">
        <f>'[3]Script (key results)'!$B$297/1000000</f>
        <v>949.58617600000002</v>
      </c>
      <c r="D17" s="29">
        <f>C17-B17</f>
        <v>133.42483200000004</v>
      </c>
      <c r="E17" s="26">
        <f>(C17-B17)/B17</f>
        <v>0.16347849966292943</v>
      </c>
    </row>
    <row r="18" spans="1:6" x14ac:dyDescent="0.3">
      <c r="A18" s="4"/>
    </row>
    <row r="19" spans="1:6" x14ac:dyDescent="0.3">
      <c r="A19" s="1" t="s">
        <v>46</v>
      </c>
    </row>
    <row r="20" spans="1:6" x14ac:dyDescent="0.3">
      <c r="A20" s="12" t="s">
        <v>47</v>
      </c>
      <c r="B20" s="28">
        <f>'[2]key results (script)'!$B$52/1000</f>
        <v>107.706</v>
      </c>
      <c r="C20" s="28">
        <f>'[3]Script (key results)'!$B$52/1000</f>
        <v>111.40300000000001</v>
      </c>
      <c r="D20" s="28">
        <f>C20-B20</f>
        <v>3.6970000000000027</v>
      </c>
      <c r="E20" s="26">
        <f>(C20-B20)/B20</f>
        <v>3.4324921545689217E-2</v>
      </c>
    </row>
    <row r="21" spans="1:6" x14ac:dyDescent="0.3">
      <c r="A21" s="12" t="s">
        <v>42</v>
      </c>
      <c r="B21" s="29">
        <f>'[2]key results (script)'!$B$54/1000000</f>
        <v>513.85062400000004</v>
      </c>
      <c r="C21" s="29">
        <f>'[3]Script (key results)'!$B$54/1000000</f>
        <v>534.47625600000003</v>
      </c>
      <c r="D21" s="29">
        <f>C21-B21</f>
        <v>20.625631999999996</v>
      </c>
      <c r="E21" s="26">
        <f>(C21-B21)/B21</f>
        <v>4.0139353805669395E-2</v>
      </c>
      <c r="F21" s="10"/>
    </row>
    <row r="22" spans="1:6" x14ac:dyDescent="0.3">
      <c r="A22" s="4"/>
    </row>
    <row r="23" spans="1:6" x14ac:dyDescent="0.3">
      <c r="A23" s="1" t="s">
        <v>48</v>
      </c>
    </row>
    <row r="24" spans="1:6" x14ac:dyDescent="0.3">
      <c r="A24" s="12" t="s">
        <v>49</v>
      </c>
      <c r="B24" s="28">
        <f>'[2]key results (script)'!$B$15/1000</f>
        <v>105.837</v>
      </c>
      <c r="C24" s="28">
        <f>'[3]Script (key results)'!$B$15/1000</f>
        <v>230.76300000000001</v>
      </c>
      <c r="D24" s="28">
        <f>C24-B24</f>
        <v>124.926</v>
      </c>
      <c r="E24" s="26">
        <f>(C24-B24)/B24</f>
        <v>1.1803622551659627</v>
      </c>
      <c r="F24" s="10"/>
    </row>
    <row r="25" spans="1:6" x14ac:dyDescent="0.3">
      <c r="A25" s="12" t="s">
        <v>103</v>
      </c>
      <c r="B25" s="29">
        <f>'[2]key results (script)'!$B$13</f>
        <v>600.45000000000005</v>
      </c>
      <c r="C25" s="29">
        <f>'[3]Script (key results)'!$B$13</f>
        <v>1650.05</v>
      </c>
      <c r="D25" s="29">
        <f>C25-B25</f>
        <v>1049.5999999999999</v>
      </c>
      <c r="E25" s="26">
        <f>(C25-B25)/B25</f>
        <v>1.7480223165958861</v>
      </c>
    </row>
    <row r="26" spans="1:6" x14ac:dyDescent="0.3">
      <c r="A26" s="4"/>
    </row>
    <row r="27" spans="1:6" x14ac:dyDescent="0.3">
      <c r="A27" s="1" t="s">
        <v>50</v>
      </c>
    </row>
    <row r="28" spans="1:6" x14ac:dyDescent="0.3">
      <c r="A28" s="12" t="s">
        <v>51</v>
      </c>
      <c r="B28" s="28">
        <f>'[2]key results (script)'!$B$56/1000</f>
        <v>546.678</v>
      </c>
      <c r="C28" s="28">
        <f>'[3]Script (key results)'!$B$56/1000</f>
        <v>546.47400000000005</v>
      </c>
      <c r="D28" s="28">
        <f>C28-B28</f>
        <v>-0.20399999999995089</v>
      </c>
      <c r="E28" s="26">
        <f>(C28-B28)/B28</f>
        <v>-3.73162995401225E-4</v>
      </c>
    </row>
    <row r="29" spans="1:6" ht="14.5" x14ac:dyDescent="0.3">
      <c r="A29" s="12" t="s">
        <v>91</v>
      </c>
      <c r="B29" s="29">
        <f>'[2]key results (script)'!$B$60/1000000</f>
        <v>7302.6063359999998</v>
      </c>
      <c r="C29" s="29">
        <f>'[3]Script (key results)'!$B$60/1000000</f>
        <v>7283.7176319999999</v>
      </c>
      <c r="D29" s="29">
        <f>C29-B29</f>
        <v>-18.888703999999962</v>
      </c>
      <c r="E29" s="26">
        <f>(C29-B29)/B29</f>
        <v>-2.586570209444734E-3</v>
      </c>
      <c r="F29" s="10"/>
    </row>
    <row r="30" spans="1:6" x14ac:dyDescent="0.3">
      <c r="A30" s="4"/>
    </row>
    <row r="31" spans="1:6" x14ac:dyDescent="0.3">
      <c r="A31" s="1" t="s">
        <v>52</v>
      </c>
    </row>
    <row r="32" spans="1:6" x14ac:dyDescent="0.3">
      <c r="A32" s="12" t="s">
        <v>47</v>
      </c>
      <c r="B32" s="28">
        <f>'[2]key results (script)'!$B$87/1000</f>
        <v>1427.085</v>
      </c>
      <c r="C32" s="28">
        <f>'[3]Script (key results)'!$B$87/1000</f>
        <v>1426.2180000000001</v>
      </c>
      <c r="D32" s="28">
        <f>C32-B32</f>
        <v>-0.8669999999999618</v>
      </c>
      <c r="E32" s="26">
        <f>(C32-B32)/B32</f>
        <v>-6.0753213718871811E-4</v>
      </c>
      <c r="F32" s="10"/>
    </row>
    <row r="33" spans="1:8" x14ac:dyDescent="0.3">
      <c r="A33" s="12" t="s">
        <v>42</v>
      </c>
      <c r="B33" s="29">
        <f>'[2]key results (script)'!$B$88/1000000</f>
        <v>3750.4473600000001</v>
      </c>
      <c r="C33" s="29">
        <f>'[3]Script (key results)'!$B$88/1000000</f>
        <v>3702.6040320000002</v>
      </c>
      <c r="D33" s="29">
        <f>C33-B33</f>
        <v>-47.843327999999929</v>
      </c>
      <c r="E33" s="26">
        <f>(C33-B33)/B33</f>
        <v>-1.2756698976838839E-2</v>
      </c>
      <c r="F33" s="10"/>
    </row>
    <row r="34" spans="1:8" x14ac:dyDescent="0.3">
      <c r="A34" s="4"/>
    </row>
    <row r="35" spans="1:8" ht="27.5" x14ac:dyDescent="0.3">
      <c r="A35" s="11" t="s">
        <v>126</v>
      </c>
    </row>
    <row r="36" spans="1:8" x14ac:dyDescent="0.3">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3">
      <c r="A37" s="12" t="s">
        <v>127</v>
      </c>
      <c r="B37" s="29">
        <f>'[2]key results (script)'!$B$311/1000000</f>
        <v>352.02771200000001</v>
      </c>
      <c r="C37" s="29">
        <f>'[3]Script (key results)'!$B$311/1000000</f>
        <v>352.02771200000001</v>
      </c>
      <c r="D37" s="29">
        <f>C37-B37</f>
        <v>0</v>
      </c>
      <c r="E37" s="26">
        <f>(C37-B37)/B37</f>
        <v>0</v>
      </c>
      <c r="F37" s="10"/>
    </row>
    <row r="38" spans="1:8" x14ac:dyDescent="0.3">
      <c r="A38" s="4"/>
    </row>
    <row r="39" spans="1:8" x14ac:dyDescent="0.3">
      <c r="A39" s="1" t="s">
        <v>53</v>
      </c>
    </row>
    <row r="40" spans="1:8" x14ac:dyDescent="0.3">
      <c r="A40" s="12" t="s">
        <v>54</v>
      </c>
      <c r="B40" s="28">
        <f>'[2]key results (script)'!$B$70/1000</f>
        <v>1469.15</v>
      </c>
      <c r="C40" s="28">
        <f>'[3]Script (key results)'!$B$70/1000</f>
        <v>1469.48</v>
      </c>
      <c r="D40" s="28">
        <f>C40-B40</f>
        <v>0.32999999999992724</v>
      </c>
      <c r="E40" s="26">
        <f>(C40-B40)/B40</f>
        <v>2.2461967804507859E-4</v>
      </c>
      <c r="G40" s="19"/>
    </row>
    <row r="41" spans="1:8" ht="14.5" x14ac:dyDescent="0.3">
      <c r="A41" s="12" t="s">
        <v>111</v>
      </c>
      <c r="B41" s="29">
        <f>'[2]key results (script)'!$B$71/1000000</f>
        <v>226.94731200000001</v>
      </c>
      <c r="C41" s="29">
        <f>'[3]Script (key results)'!$B$71/1000000</f>
        <v>226.95886400000001</v>
      </c>
      <c r="D41" s="29">
        <f>C41-B41</f>
        <v>1.1551999999994678E-2</v>
      </c>
      <c r="E41" s="26">
        <f>(C41-B41)/B41</f>
        <v>5.0901682413381818E-5</v>
      </c>
      <c r="G41" s="19"/>
    </row>
    <row r="42" spans="1:8" x14ac:dyDescent="0.3">
      <c r="A42" s="4"/>
      <c r="G42" s="20"/>
    </row>
    <row r="43" spans="1:8" x14ac:dyDescent="0.3">
      <c r="A43" s="1" t="s">
        <v>104</v>
      </c>
    </row>
    <row r="44" spans="1:8" x14ac:dyDescent="0.3">
      <c r="A44" s="12" t="s">
        <v>105</v>
      </c>
      <c r="B44" s="29">
        <f>(+'[2]key results (script)'!$B$276+'[2]key results (script)'!$B$277)/1000000</f>
        <v>35898.250240000001</v>
      </c>
      <c r="C44" s="29">
        <f>+('[3]Script (key results)'!$B$276+'[3]Script (key results)'!$B$277)/1000000</f>
        <v>35639.283455999997</v>
      </c>
      <c r="D44" s="29">
        <f t="shared" ref="D44" si="0">C44-B44</f>
        <v>-258.96678400000383</v>
      </c>
      <c r="E44" s="26">
        <f t="shared" ref="E44:E53" si="1">(C44-B44)/B44</f>
        <v>-7.2139110477158408E-3</v>
      </c>
    </row>
    <row r="45" spans="1:8" x14ac:dyDescent="0.3">
      <c r="A45" s="12" t="s">
        <v>87</v>
      </c>
      <c r="E45" s="26"/>
      <c r="F45" s="10"/>
      <c r="G45" s="21"/>
      <c r="H45" s="62"/>
    </row>
    <row r="46" spans="1:8" x14ac:dyDescent="0.3">
      <c r="A46" s="5" t="s">
        <v>89</v>
      </c>
      <c r="B46" s="28">
        <f>+'[2]key results (script)'!$B$278/1000</f>
        <v>1008.817</v>
      </c>
      <c r="C46" s="28">
        <f>'[3]Script (key results)'!$B$278/1000</f>
        <v>1008.817</v>
      </c>
      <c r="D46" s="28">
        <f>C46-B46</f>
        <v>0</v>
      </c>
      <c r="E46" s="26">
        <f t="shared" si="1"/>
        <v>0</v>
      </c>
      <c r="G46" s="21"/>
      <c r="H46" s="62"/>
    </row>
    <row r="47" spans="1:8" x14ac:dyDescent="0.3">
      <c r="A47" s="5" t="s">
        <v>90</v>
      </c>
      <c r="B47" s="29">
        <f>+(('[2]key results (script)'!$B$278)*'[2]key results (script)'!$B$279)/1000000</f>
        <v>624.45772299999999</v>
      </c>
      <c r="C47" s="29">
        <f>+('[3]Script (key results)'!$B$278*'[3]Script (key results)'!$B$279)/1000000</f>
        <v>624.45772299999999</v>
      </c>
      <c r="D47" s="29">
        <f>C47-B47</f>
        <v>0</v>
      </c>
      <c r="E47" s="26">
        <f t="shared" si="1"/>
        <v>0</v>
      </c>
      <c r="G47" s="20"/>
    </row>
    <row r="48" spans="1:8" x14ac:dyDescent="0.3">
      <c r="A48" s="12" t="s">
        <v>144</v>
      </c>
      <c r="B48" s="29"/>
      <c r="C48" s="29"/>
      <c r="D48" s="29"/>
      <c r="E48" s="26"/>
      <c r="G48" s="20"/>
    </row>
    <row r="49" spans="1:8" x14ac:dyDescent="0.3">
      <c r="A49" s="5" t="s">
        <v>89</v>
      </c>
      <c r="B49" s="28">
        <f>+[2]ESCC!$B$8/1000</f>
        <v>1687.5719999999999</v>
      </c>
      <c r="C49" s="28">
        <f>+[3]ESCC!$B$8/1000</f>
        <v>2021.9069999999999</v>
      </c>
      <c r="D49" s="28">
        <f>C49-B49</f>
        <v>334.33500000000004</v>
      </c>
      <c r="E49" s="26">
        <f t="shared" ref="E49:E50" si="2">(C49-B49)/B49</f>
        <v>0.19811599149547401</v>
      </c>
      <c r="G49" s="20"/>
    </row>
    <row r="50" spans="1:8" x14ac:dyDescent="0.3">
      <c r="A50" s="5" t="s">
        <v>90</v>
      </c>
      <c r="B50" s="29">
        <f>+[2]ESCC!$C$8/1000000</f>
        <v>1018.078381</v>
      </c>
      <c r="C50" s="29">
        <f>+[3]ESCC!$C$8/1000000</f>
        <v>1312.6476789999999</v>
      </c>
      <c r="D50" s="29">
        <f>C50-B50</f>
        <v>294.56929799999989</v>
      </c>
      <c r="E50" s="26">
        <f t="shared" si="2"/>
        <v>0.28933852589096465</v>
      </c>
      <c r="G50" s="20"/>
    </row>
    <row r="51" spans="1:8" x14ac:dyDescent="0.3">
      <c r="A51" s="12" t="s">
        <v>88</v>
      </c>
      <c r="B51" s="29"/>
      <c r="C51" s="29"/>
      <c r="D51" s="29"/>
      <c r="E51" s="26"/>
      <c r="F51" s="10"/>
    </row>
    <row r="52" spans="1:8" x14ac:dyDescent="0.3">
      <c r="A52" s="5" t="s">
        <v>89</v>
      </c>
      <c r="B52" s="28">
        <f>+'[2]key results (script)'!$B$280/1000</f>
        <v>447.94299999999998</v>
      </c>
      <c r="C52" s="28">
        <f>'[3]Script (key results)'!$B$280/1000</f>
        <v>483.28699999999998</v>
      </c>
      <c r="D52" s="28">
        <f>C52-B52</f>
        <v>35.343999999999994</v>
      </c>
      <c r="E52" s="26">
        <f t="shared" si="1"/>
        <v>7.8902896127409056E-2</v>
      </c>
      <c r="F52" s="10"/>
      <c r="H52" s="62"/>
    </row>
    <row r="53" spans="1:8" x14ac:dyDescent="0.3">
      <c r="A53" s="5" t="s">
        <v>90</v>
      </c>
      <c r="B53" s="29">
        <f>+('[2]key results (script)'!$B$280*'[2]key results (script)'!$B$281)/1000000</f>
        <v>222.17972800000001</v>
      </c>
      <c r="C53" s="29">
        <f>+('[3]Script (key results)'!$B$280*'[3]Script (key results)'!$B$281)/1000000</f>
        <v>186.54878199999999</v>
      </c>
      <c r="D53" s="29">
        <f>C53-B53</f>
        <v>-35.630946000000023</v>
      </c>
      <c r="E53" s="26">
        <f t="shared" si="1"/>
        <v>-0.16036992357826643</v>
      </c>
      <c r="F53" s="10"/>
    </row>
    <row r="54" spans="1:8" x14ac:dyDescent="0.3">
      <c r="A54" s="12" t="s">
        <v>97</v>
      </c>
      <c r="E54" s="26"/>
      <c r="F54" s="10"/>
    </row>
    <row r="55" spans="1:8" x14ac:dyDescent="0.3">
      <c r="A55" s="5" t="s">
        <v>89</v>
      </c>
      <c r="B55" s="17">
        <v>0</v>
      </c>
      <c r="C55" s="17">
        <v>0</v>
      </c>
      <c r="D55" s="28">
        <f>C55-B55</f>
        <v>0</v>
      </c>
      <c r="E55" s="26" t="str">
        <f>IF(B55-C55&lt;&gt;0,(C55-B55)/B55,"--")</f>
        <v>--</v>
      </c>
      <c r="F55" s="10"/>
    </row>
    <row r="56" spans="1:8" x14ac:dyDescent="0.3">
      <c r="A56" s="5" t="s">
        <v>90</v>
      </c>
      <c r="B56" s="17">
        <v>0</v>
      </c>
      <c r="C56" s="17">
        <v>0</v>
      </c>
      <c r="D56" s="28">
        <f>C56-B56</f>
        <v>0</v>
      </c>
      <c r="E56" s="26" t="str">
        <f>IF(B56-C56&lt;&gt;0,(C56-B56)/B56,"--")</f>
        <v>--</v>
      </c>
      <c r="F56" s="10"/>
    </row>
    <row r="57" spans="1:8" x14ac:dyDescent="0.3">
      <c r="A57" s="5"/>
      <c r="D57" s="28"/>
      <c r="E57" s="26"/>
      <c r="F57" s="10"/>
    </row>
    <row r="58" spans="1:8" x14ac:dyDescent="0.3">
      <c r="A58" s="1" t="s">
        <v>106</v>
      </c>
      <c r="D58" s="28"/>
      <c r="E58" s="26"/>
      <c r="F58" s="10"/>
    </row>
    <row r="59" spans="1:8" x14ac:dyDescent="0.3">
      <c r="A59" s="12" t="s">
        <v>107</v>
      </c>
      <c r="B59" s="29">
        <f>+('[2]key results (script)'!$B$22+'[2]key results (script)'!$B$23)/1000000</f>
        <v>10771.293326000001</v>
      </c>
      <c r="C59" s="29">
        <f>+('[3]Script (key results)'!$B$22+'[3]Script (key results)'!$B$23)/1000000</f>
        <v>10772.088502000001</v>
      </c>
      <c r="D59" s="65">
        <f>C59-B59</f>
        <v>0.7951759999996284</v>
      </c>
      <c r="E59" s="26">
        <f t="shared" ref="E59" si="3">(C59-B59)/B59</f>
        <v>7.3823632495478872E-5</v>
      </c>
      <c r="F59" s="10"/>
    </row>
    <row r="60" spans="1:8" x14ac:dyDescent="0.3">
      <c r="A60" s="12"/>
      <c r="B60" s="29"/>
      <c r="C60" s="29"/>
      <c r="D60" s="29"/>
      <c r="E60" s="26"/>
      <c r="F60" s="10"/>
    </row>
    <row r="61" spans="1:8" x14ac:dyDescent="0.3">
      <c r="A61" s="1" t="s">
        <v>116</v>
      </c>
      <c r="F61" s="10"/>
    </row>
    <row r="62" spans="1:8" ht="14.5" x14ac:dyDescent="0.3">
      <c r="A62" s="12" t="s">
        <v>118</v>
      </c>
      <c r="B62" s="29">
        <f>+'[2]key results (script)'!$B$73+'[2]key results (script)'!$B$74+'[2]key results (script)'!$B$75</f>
        <v>84903</v>
      </c>
      <c r="C62" s="29">
        <f>+'[3]Script (key results)'!$B$73+'[3]Script (key results)'!$B$74+'[3]Script (key results)'!$B$75</f>
        <v>84903</v>
      </c>
      <c r="D62" s="28">
        <f t="shared" ref="D62:D63" si="4">C62-B62</f>
        <v>0</v>
      </c>
      <c r="E62" s="26">
        <f t="shared" ref="E62:E63" si="5">(C62-B62)/B62</f>
        <v>0</v>
      </c>
      <c r="F62" s="10"/>
    </row>
    <row r="63" spans="1:8" ht="13.5" thickBot="1" x14ac:dyDescent="0.35">
      <c r="A63" s="12" t="s">
        <v>117</v>
      </c>
      <c r="B63" s="29">
        <f>+'[2]key results (script)'!$B$34+'[2]key results (script)'!$B$35</f>
        <v>106852</v>
      </c>
      <c r="C63" s="29">
        <f>+'[3]Script (key results)'!$B$34+'[3]Script (key results)'!$B$35</f>
        <v>106871</v>
      </c>
      <c r="D63" s="29">
        <f t="shared" si="4"/>
        <v>19</v>
      </c>
      <c r="E63" s="26">
        <f t="shared" si="5"/>
        <v>1.7781604462246847E-4</v>
      </c>
      <c r="F63" s="10"/>
    </row>
    <row r="64" spans="1:8" x14ac:dyDescent="0.3">
      <c r="A64" s="77" t="s">
        <v>86</v>
      </c>
      <c r="B64" s="77"/>
      <c r="C64" s="77"/>
      <c r="D64" s="77"/>
      <c r="E64" s="77"/>
    </row>
    <row r="65" spans="1:5" ht="80.25" customHeight="1" x14ac:dyDescent="0.3">
      <c r="A65" s="74" t="s">
        <v>128</v>
      </c>
      <c r="B65" s="74"/>
      <c r="C65" s="74"/>
      <c r="D65" s="74"/>
      <c r="E65" s="74"/>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796875" defaultRowHeight="13" x14ac:dyDescent="0.3"/>
  <cols>
    <col min="1" max="1" width="43.453125" style="1" customWidth="1"/>
    <col min="2" max="5" width="14.6328125" style="17" customWidth="1"/>
    <col min="6" max="16384" width="9.1796875" style="1"/>
  </cols>
  <sheetData>
    <row r="1" spans="1:5" x14ac:dyDescent="0.3">
      <c r="A1" s="6" t="s">
        <v>85</v>
      </c>
    </row>
    <row r="2" spans="1:5" x14ac:dyDescent="0.3">
      <c r="A2" s="6" t="s">
        <v>139</v>
      </c>
    </row>
    <row r="3" spans="1:5" x14ac:dyDescent="0.3">
      <c r="A3" s="70" t="s">
        <v>145</v>
      </c>
    </row>
    <row r="4" spans="1:5" s="30" customFormat="1" x14ac:dyDescent="0.3">
      <c r="A4" s="1" t="s">
        <v>114</v>
      </c>
      <c r="B4" s="60"/>
      <c r="C4" s="60"/>
      <c r="D4" s="60"/>
      <c r="E4" s="60"/>
    </row>
    <row r="5" spans="1:5" ht="26.25" customHeight="1" thickBot="1" x14ac:dyDescent="0.35">
      <c r="B5" s="9"/>
      <c r="C5" s="78" t="s">
        <v>140</v>
      </c>
      <c r="D5" s="78"/>
      <c r="E5" s="78"/>
    </row>
    <row r="6" spans="1:5" ht="26.5" thickBot="1" x14ac:dyDescent="0.35">
      <c r="A6" s="3"/>
      <c r="B6" s="23" t="s">
        <v>38</v>
      </c>
      <c r="C6" s="23" t="s">
        <v>37</v>
      </c>
      <c r="D6" s="23" t="s">
        <v>120</v>
      </c>
      <c r="E6" s="23" t="s">
        <v>77</v>
      </c>
    </row>
    <row r="7" spans="1:5" ht="27.5" x14ac:dyDescent="0.3">
      <c r="A7" s="64" t="s">
        <v>119</v>
      </c>
      <c r="B7" s="9"/>
      <c r="C7" s="9"/>
      <c r="D7" s="9"/>
    </row>
    <row r="8" spans="1:5" ht="14.5" x14ac:dyDescent="0.3">
      <c r="A8" s="2" t="s">
        <v>115</v>
      </c>
      <c r="B8" s="63">
        <f>SUM('7. Program Summary'!B9,'7. Program Summary'!B13,'7. Program Summary'!B17,'7. Program Summary'!B21,'7. Program Summary'!B25,'7. Program Summary'!B29,'7. Program Summary'!B33,'7. Program Summary'!B37,'7. Program Summary'!B41)</f>
        <v>19627.995967999996</v>
      </c>
      <c r="C8" s="63">
        <f>SUM('7. Program Summary'!C9,'7. Program Summary'!C13,'7. Program Summary'!C17,'7. Program Summary'!C21,'7. Program Summary'!C25,'7. Program Summary'!C29,'7. Program Summary'!C33,'7. Program Summary'!C37,'7. Program Summary'!C41)</f>
        <v>20764.925951999998</v>
      </c>
      <c r="D8" s="63">
        <f>+C8-B8</f>
        <v>1136.9299840000022</v>
      </c>
      <c r="E8" s="26">
        <f>(C8-B8)/B8</f>
        <v>5.7923895330606705E-2</v>
      </c>
    </row>
    <row r="9" spans="1:5" x14ac:dyDescent="0.3">
      <c r="A9" s="2" t="s">
        <v>142</v>
      </c>
      <c r="B9" s="63">
        <f>+'7. Program Summary'!B44+'7. Program Summary'!B59</f>
        <v>46669.543566</v>
      </c>
      <c r="C9" s="63">
        <f>+'7. Program Summary'!C44+'7. Program Summary'!C59</f>
        <v>46411.371957999996</v>
      </c>
      <c r="D9" s="63">
        <f t="shared" ref="D9:D10" si="0">+C9-B9</f>
        <v>-258.1716080000042</v>
      </c>
      <c r="E9" s="26">
        <f>(C9-B9)/B9</f>
        <v>-5.5319077126798613E-3</v>
      </c>
    </row>
    <row r="10" spans="1:5" ht="13.5" thickBot="1" x14ac:dyDescent="0.35">
      <c r="A10" s="8" t="s">
        <v>143</v>
      </c>
      <c r="B10" s="63">
        <f>(B8-B9)</f>
        <v>-27041.547598000005</v>
      </c>
      <c r="C10" s="63">
        <f>(C8-C9)</f>
        <v>-25646.446005999998</v>
      </c>
      <c r="D10" s="63">
        <f t="shared" si="0"/>
        <v>1395.1015920000063</v>
      </c>
      <c r="E10" s="26">
        <f>(C10-B10)/B10</f>
        <v>-5.1591041043197845E-2</v>
      </c>
    </row>
    <row r="11" spans="1:5" ht="27" customHeight="1" x14ac:dyDescent="0.3">
      <c r="A11" s="75" t="s">
        <v>86</v>
      </c>
      <c r="B11" s="75"/>
      <c r="C11" s="75"/>
      <c r="D11" s="75"/>
      <c r="E11" s="75"/>
    </row>
    <row r="12" spans="1:5" ht="54.75" customHeight="1" x14ac:dyDescent="0.3">
      <c r="A12" s="76" t="s">
        <v>141</v>
      </c>
      <c r="B12" s="76"/>
      <c r="C12" s="76"/>
      <c r="D12" s="76"/>
      <c r="E12" s="76"/>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Preliminary Results, Simulation 1 - August 10, 2023</dc:title>
  <dc:creator>Urban Institute</dc:creator>
  <cp:lastModifiedBy>Albini, Daria (OTDA)</cp:lastModifiedBy>
  <dcterms:created xsi:type="dcterms:W3CDTF">2023-01-09T17:55:27Z</dcterms:created>
  <dcterms:modified xsi:type="dcterms:W3CDTF">2023-09-07T16:47:32Z</dcterms:modified>
</cp:coreProperties>
</file>