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9-11\"/>
    </mc:Choice>
  </mc:AlternateContent>
  <xr:revisionPtr revIDLastSave="0" documentId="8_{ECBD6F95-A70A-485F-AE2F-756E27CE2495}" xr6:coauthVersionLast="47" xr6:coauthVersionMax="47" xr10:uidLastSave="{00000000-0000-0000-0000-000000000000}"/>
  <bookViews>
    <workbookView xWindow="790" yWindow="88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49" i="11"/>
  <c r="B50" i="11" l="1"/>
  <c r="B49" i="11"/>
  <c r="E50" i="11" l="1"/>
  <c r="D50" i="11"/>
  <c r="E49" i="11"/>
  <c r="D49" i="11"/>
  <c r="C63" i="11"/>
  <c r="C62" i="11"/>
  <c r="C59" i="11"/>
  <c r="C53" i="11"/>
  <c r="C52" i="11"/>
  <c r="C47" i="11"/>
  <c r="C46" i="11"/>
  <c r="C44" i="11"/>
  <c r="C9" i="5" s="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E56" i="11"/>
  <c r="E55" i="11"/>
  <c r="C10" i="5" l="1"/>
  <c r="B36" i="11"/>
  <c r="B7" i="3"/>
  <c r="B62" i="11"/>
  <c r="E36" i="11" l="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5" i="7" s="1"/>
  <c r="B26" i="7"/>
  <c r="F30" i="7" s="1"/>
  <c r="B19" i="7"/>
  <c r="F22" i="7" s="1"/>
  <c r="B13" i="7"/>
  <c r="F18" i="7" s="1"/>
  <c r="B7" i="7"/>
  <c r="F12" i="7" s="1"/>
  <c r="B7" i="1"/>
  <c r="C46" i="7"/>
  <c r="C45" i="7"/>
  <c r="C44" i="7"/>
  <c r="C43" i="7"/>
  <c r="C41" i="7"/>
  <c r="C40" i="7"/>
  <c r="I40" i="7" s="1"/>
  <c r="C39" i="7"/>
  <c r="I39" i="7" s="1"/>
  <c r="C38" i="7"/>
  <c r="C35" i="7"/>
  <c r="D35" i="7" s="1"/>
  <c r="C34" i="7"/>
  <c r="C33" i="7"/>
  <c r="C32" i="7"/>
  <c r="C30" i="7"/>
  <c r="C29" i="7"/>
  <c r="I29" i="7" s="1"/>
  <c r="C28" i="7"/>
  <c r="C27" i="7"/>
  <c r="D27" i="7" s="1"/>
  <c r="C24" i="7"/>
  <c r="C23" i="7"/>
  <c r="C22" i="7"/>
  <c r="D22" i="7" s="1"/>
  <c r="C21" i="7"/>
  <c r="C18" i="7"/>
  <c r="C17" i="7"/>
  <c r="D17" i="7" s="1"/>
  <c r="C16" i="7"/>
  <c r="C15" i="7"/>
  <c r="D15" i="7" s="1"/>
  <c r="C12" i="7"/>
  <c r="C11" i="7"/>
  <c r="C10" i="7"/>
  <c r="C9" i="7"/>
  <c r="C10" i="12"/>
  <c r="I45" i="7"/>
  <c r="F44" i="7"/>
  <c r="F38" i="7"/>
  <c r="I34" i="7"/>
  <c r="F27" i="7"/>
  <c r="F21" i="7"/>
  <c r="I17" i="7"/>
  <c r="F15" i="7"/>
  <c r="D33" i="7"/>
  <c r="D29" i="7"/>
  <c r="F11" i="7" l="1"/>
  <c r="F24" i="7"/>
  <c r="F32" i="7"/>
  <c r="F9" i="7"/>
  <c r="F33" i="7"/>
  <c r="F43" i="7"/>
  <c r="D21" i="7"/>
  <c r="H21" i="7" s="1"/>
  <c r="D23" i="7"/>
  <c r="D18" i="7"/>
  <c r="H18" i="7" s="1"/>
  <c r="D32" i="7"/>
  <c r="H32" i="7" s="1"/>
  <c r="D34" i="7"/>
  <c r="H15" i="7"/>
  <c r="I23" i="7"/>
  <c r="E9" i="5"/>
  <c r="D9" i="5"/>
  <c r="H27" i="7"/>
  <c r="F16" i="7"/>
  <c r="F28" i="7"/>
  <c r="D16" i="7"/>
  <c r="D28" i="7"/>
  <c r="D30" i="7"/>
  <c r="H30" i="7" s="1"/>
  <c r="E44" i="11"/>
  <c r="D11" i="7"/>
  <c r="H11" i="7" s="1"/>
  <c r="D59" i="11"/>
  <c r="D44" i="11"/>
  <c r="D40" i="7"/>
  <c r="F34" i="7"/>
  <c r="I9" i="7"/>
  <c r="I27" i="7"/>
  <c r="I43" i="7"/>
  <c r="I10" i="7"/>
  <c r="H22" i="7"/>
  <c r="H33" i="7"/>
  <c r="H35" i="7"/>
  <c r="D24" i="7"/>
  <c r="D46" i="7"/>
  <c r="H46" i="7" s="1"/>
  <c r="F45" i="7"/>
  <c r="I11" i="7"/>
  <c r="I41" i="7"/>
  <c r="F39" i="7"/>
  <c r="I15" i="7"/>
  <c r="I30" i="7"/>
  <c r="I44" i="7"/>
  <c r="I16" i="7"/>
  <c r="I32" i="7"/>
  <c r="I18" i="7"/>
  <c r="I33" i="7"/>
  <c r="I28" i="7"/>
  <c r="I21" i="7"/>
  <c r="I22" i="7"/>
  <c r="I38" i="7"/>
  <c r="F23" i="7"/>
  <c r="F17" i="7"/>
  <c r="H17" i="7" s="1"/>
  <c r="F29" i="7"/>
  <c r="H29" i="7" s="1"/>
  <c r="F40" i="7"/>
  <c r="I12" i="7"/>
  <c r="I24" i="7"/>
  <c r="I35" i="7"/>
  <c r="I46" i="7"/>
  <c r="F10" i="7"/>
  <c r="D38" i="7"/>
  <c r="H38" i="7" s="1"/>
  <c r="D41" i="7"/>
  <c r="H41" i="7" s="1"/>
  <c r="D39" i="7"/>
  <c r="D43" i="7"/>
  <c r="D44" i="7"/>
  <c r="H44" i="7" s="1"/>
  <c r="D45" i="7"/>
  <c r="D9" i="7"/>
  <c r="H9" i="7" s="1"/>
  <c r="D10" i="7"/>
  <c r="D12" i="7"/>
  <c r="H12" i="7" s="1"/>
  <c r="H40" i="7" l="1"/>
  <c r="H24" i="7"/>
  <c r="H34" i="7"/>
  <c r="H43" i="7"/>
  <c r="H23" i="7"/>
  <c r="H16" i="7"/>
  <c r="H28" i="7"/>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20" i="12"/>
  <c r="G42" i="1"/>
  <c r="G43" i="1"/>
  <c r="G44" i="1"/>
  <c r="G45" i="1"/>
  <c r="G39" i="12"/>
  <c r="G21" i="10"/>
  <c r="G20" i="10"/>
  <c r="E9" i="11" l="1"/>
  <c r="B8" i="5"/>
  <c r="G32" i="1"/>
  <c r="G28" i="1"/>
  <c r="G28" i="12"/>
  <c r="G21" i="12"/>
  <c r="G18" i="12"/>
  <c r="G16" i="12"/>
  <c r="G13" i="12"/>
  <c r="G11" i="12"/>
  <c r="G17" i="1"/>
  <c r="G37" i="1"/>
  <c r="G39" i="1"/>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2" i="10" l="1"/>
  <c r="H15" i="10"/>
  <c r="E8" i="5"/>
  <c r="D8" i="5"/>
  <c r="B10" i="5"/>
  <c r="D10" i="5" s="1"/>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alcChain>
</file>

<file path=xl/sharedStrings.xml><?xml version="1.0" encoding="utf-8"?>
<sst xmlns="http://schemas.openxmlformats.org/spreadsheetml/2006/main" count="349" uniqueCount="146">
  <si>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</si>
  <si>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</si>
  <si>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</si>
  <si>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</si>
  <si>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</si>
  <si>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</si>
  <si>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</si>
  <si>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</si>
  <si>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</si>
  <si>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</si>
  <si>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</si>
  <si>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</si>
  <si>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</si>
  <si>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</si>
  <si>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</si>
  <si>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</si>
  <si>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</si>
  <si>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</si>
  <si>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</si>
  <si>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</si>
  <si>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</si>
  <si>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</si>
  <si>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</si>
  <si>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</si>
  <si>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</si>
  <si>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</si>
  <si>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</si>
  <si>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</si>
  <si>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</si>
  <si>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</si>
  <si>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</si>
  <si>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</si>
  <si>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</si>
  <si>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</si>
  <si>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</si>
  <si>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</si>
  <si>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</si>
  <si>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</si>
  <si>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</si>
  <si>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</si>
  <si>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</si>
  <si>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</si>
  <si>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</si>
  <si>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</si>
  <si>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</si>
  <si>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</si>
  <si>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</si>
  <si>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</si>
  <si>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</si>
  <si>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</si>
  <si>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</si>
  <si>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</si>
  <si>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</si>
  <si>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</si>
  <si>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</si>
  <si>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</si>
  <si>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</si>
  <si>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</si>
  <si>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</si>
  <si>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</si>
  <si>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</si>
  <si>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</si>
  <si>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</si>
  <si>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</si>
  <si>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</si>
  <si>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</si>
  <si>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</si>
  <si>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</si>
  <si>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</si>
  <si>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</si>
  <si>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</si>
  <si>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</si>
  <si>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</si>
  <si>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</si>
  <si>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</si>
  <si>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</si>
  <si>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</si>
  <si>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</si>
  <si>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</si>
  <si>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</si>
  <si>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</si>
  <si>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</si>
  <si>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</si>
  <si>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</si>
  <si>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</si>
  <si>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</si>
  <si>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</si>
  <si>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</si>
  <si>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</si>
  <si>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</si>
  <si>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</si>
  <si>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</si>
  <si>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</si>
  <si>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</si>
  <si>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</si>
  <si>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</si>
  <si>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</si>
  <si>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</si>
  <si>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</si>
  <si>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</si>
  <si>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</si>
  <si>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</si>
  <si>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</si>
  <si>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</si>
  <si>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</si>
  <si>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</si>
  <si>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</si>
  <si>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</si>
  <si>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</si>
  <si>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</si>
  <si>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</si>
  <si>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</si>
  <si>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</si>
  <si>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</si>
  <si>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</si>
  <si>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</si>
  <si>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</si>
  <si>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</si>
  <si>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</si>
  <si>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</si>
  <si>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</si>
  <si>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</si>
  <si>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</si>
  <si>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</si>
  <si>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</si>
  <si>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</si>
  <si>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</si>
  <si>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</si>
  <si>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</si>
  <si>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</si>
  <si>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</si>
  <si>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</si>
  <si>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People in SPM Poverty by Demographic Characteristics, Under Enacted Policies for Empire State Child Credit, Public Assistance, and Child Care Subsidies, Plus Temporary EITC Expansions, 2019</t>
  </si>
  <si>
    <t>Enacted Policies for Empire State Child Credit, Public Assistance, and Child Care Subsidies, Plus Temporary EITC Expansions</t>
  </si>
  <si>
    <t>Characteristics of Individuals in SPM Poverty in New York Under Enacted Policies for Empire State Child Credit, Public Assistance, and Child Care Subsidies, Plus Temporary EITC Expansions, 2019</t>
  </si>
  <si>
    <t>Characteristics of Individuals by Race in SPM Poverty in New York Under Enacted Policies for Empire State Child Credit, Public Assistance, and Child Care Subsidies, Plus Temporary EITC Expansions, 2019</t>
  </si>
  <si>
    <t xml:space="preserve">Characteristics of Families in SPM Poverty in New York Under Enacted Policies for Empire State Child Credit, Public Assistance, and Child Care Subsidies, Plus Temporary EITC Expansions, 2019  </t>
  </si>
  <si>
    <t>Changes in Household Resources Under Enacted Policies for Empire State Child Credit, Public Assistance, and Child Care Subsidies, Plus Temporary EITC Expansions, 20191</t>
  </si>
  <si>
    <t>Employment Changes by Characteristics Under Enacted Policies for Empire State Child Credit, Public Assistance, and Child Care Subsidies, Plus Temporary EITC Expansions, 2019</t>
  </si>
  <si>
    <t>Change in Benefit Programs Under Enacted Policies for Empire State Child Credit, Public Assistance, and Child Care Subsidies, Plus Temporary EITC Expansions, 2019</t>
  </si>
  <si>
    <t>Change in Government Costs Under Enacted Policies for Empire State Child Credit, Public Assistance, and Child Care Subsidies, Plus Temporary EITC Expansions, 2019</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</si>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</sst>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164" fontId="1" fillId="0" borderId="0" xfId="1" quotePrefix="1"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132</v>
      </c>
      <c r="B2" s="25"/>
    </row>
    <row r="3" spans="1:9" x14ac:dyDescent="0.3">
      <c r="A3" s="30" t="s">
        <v>145</v>
      </c>
      <c r="B3" s="25"/>
    </row>
    <row r="4" spans="1:9" x14ac:dyDescent="0.3">
      <c r="A4" s="1" t="s">
        <v>112</v>
      </c>
      <c r="E4" s="72"/>
      <c r="F4" s="72"/>
      <c r="G4" s="72"/>
    </row>
    <row r="5" spans="1:9" ht="25.5" customHeight="1" thickBot="1" x14ac:dyDescent="0.35">
      <c r="E5" s="73" t="s">
        <v>133</v>
      </c>
      <c r="F5" s="73"/>
      <c r="G5" s="73"/>
      <c r="H5" s="73"/>
      <c r="I5" s="73"/>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2458.63</v>
      </c>
      <c r="F7" s="32">
        <f>E7/$B7</f>
        <v>0.13022473635983242</v>
      </c>
      <c r="G7" s="28">
        <f>E7-C7</f>
        <v>-98.170000000000073</v>
      </c>
      <c r="H7" s="33">
        <f>ROUND((F7-D7)*100,2)</f>
        <v>-0.52</v>
      </c>
      <c r="I7" s="26">
        <f>(E7-C7)/C7</f>
        <v>-3.8395650813516924E-2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506.15100000000001</v>
      </c>
      <c r="F9" s="32">
        <f t="shared" ref="F9:F12" si="1">E9/$B9</f>
        <v>0.12673006287040584</v>
      </c>
      <c r="G9" s="28">
        <f>E9-C9</f>
        <v>-50.184000000000026</v>
      </c>
      <c r="H9" s="33">
        <f t="shared" ref="H9:H12" si="2">ROUND((F9-D9)*100,2)</f>
        <v>-1.26</v>
      </c>
      <c r="I9" s="26">
        <f t="shared" ref="I9:I12" si="3">(E9-C9)/C9</f>
        <v>-9.0204642886030945E-2</v>
      </c>
    </row>
    <row r="10" spans="1:9" x14ac:dyDescent="0.3">
      <c r="A10" s="13" t="s">
        <v>56</v>
      </c>
      <c r="B10" s="36">
        <f>SUM('[1]ATTIS Summary Tables'!$J$857:$J$858)/1000</f>
        <v>1108.269</v>
      </c>
      <c r="C10" s="36">
        <f>SUM('[2]SPM poverty tables'!$E$857:$E$858)/1000</f>
        <v>168.679</v>
      </c>
      <c r="D10" s="26">
        <f t="shared" si="0"/>
        <v>0.15220041343753185</v>
      </c>
      <c r="E10" s="36">
        <f>SUM('[3]SPM tables'!$E$857:$E$858)/1000</f>
        <v>147.435</v>
      </c>
      <c r="F10" s="32">
        <f t="shared" si="1"/>
        <v>0.13303178199516544</v>
      </c>
      <c r="G10" s="28">
        <f t="shared" ref="G10:G21" si="4">E10-C10</f>
        <v>-21.244</v>
      </c>
      <c r="H10" s="33">
        <f t="shared" si="2"/>
        <v>-1.92</v>
      </c>
      <c r="I10" s="26">
        <f t="shared" si="3"/>
        <v>-0.12594335987289468</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358.71600000000001</v>
      </c>
      <c r="F11" s="32">
        <f t="shared" si="1"/>
        <v>0.12430943247148843</v>
      </c>
      <c r="G11" s="28">
        <f t="shared" si="4"/>
        <v>-28.939999999999998</v>
      </c>
      <c r="H11" s="33">
        <f t="shared" si="2"/>
        <v>-1</v>
      </c>
      <c r="I11" s="26">
        <f t="shared" si="3"/>
        <v>-7.4653816786016458E-2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1952.4749999999999</v>
      </c>
      <c r="F12" s="32">
        <f t="shared" si="1"/>
        <v>0.13116244668623323</v>
      </c>
      <c r="G12" s="28">
        <f t="shared" si="4"/>
        <v>-47.993000000000166</v>
      </c>
      <c r="H12" s="33">
        <f t="shared" si="2"/>
        <v>-0.32</v>
      </c>
      <c r="I12" s="26">
        <f t="shared" si="3"/>
        <v>-2.3990886132645044E-2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325.31599999999997</v>
      </c>
      <c r="F14" s="32">
        <f t="shared" ref="F14:F18" si="6">E14/$B14</f>
        <v>0.19985010443543433</v>
      </c>
      <c r="G14" s="28">
        <f t="shared" si="4"/>
        <v>-19.455000000000041</v>
      </c>
      <c r="H14" s="33">
        <f t="shared" ref="H14:H18" si="7">ROUND((F14-D14)*100,2)</f>
        <v>-1.2</v>
      </c>
      <c r="I14" s="26">
        <f t="shared" ref="I14:I18" si="8">(E14-C14)/C14</f>
        <v>-5.6428759959509474E-2</v>
      </c>
    </row>
    <row r="15" spans="1:9" x14ac:dyDescent="0.3">
      <c r="A15" s="5" t="s">
        <v>22</v>
      </c>
      <c r="B15" s="36">
        <f>'[1]ATTIS Summary Tables'!$J$618/1000</f>
        <v>2625.71</v>
      </c>
      <c r="C15" s="36">
        <f>'[2]SPM poverty tables'!$E$618/1000</f>
        <v>447.202</v>
      </c>
      <c r="D15" s="26">
        <f t="shared" si="5"/>
        <v>0.17031660008150176</v>
      </c>
      <c r="E15" s="36">
        <f>'[3]SPM tables'!$E$618/1000</f>
        <v>432.05099999999999</v>
      </c>
      <c r="F15" s="32">
        <f t="shared" si="6"/>
        <v>0.16454635127260817</v>
      </c>
      <c r="G15" s="28">
        <f t="shared" si="4"/>
        <v>-15.15100000000001</v>
      </c>
      <c r="H15" s="33">
        <f t="shared" si="7"/>
        <v>-0.57999999999999996</v>
      </c>
      <c r="I15" s="26">
        <f t="shared" si="8"/>
        <v>-3.3879544366975128E-2</v>
      </c>
    </row>
    <row r="16" spans="1:9" x14ac:dyDescent="0.3">
      <c r="A16" s="5" t="s">
        <v>24</v>
      </c>
      <c r="B16" s="36">
        <f>'[1]ATTIS Summary Tables'!$J$620/1000</f>
        <v>3645.79</v>
      </c>
      <c r="C16" s="36">
        <f>'[2]SPM poverty tables'!$E$620/1000</f>
        <v>720.529</v>
      </c>
      <c r="D16" s="26">
        <f t="shared" si="5"/>
        <v>0.1976331604398498</v>
      </c>
      <c r="E16" s="36">
        <f>'[3]SPM tables'!$E$620/1000</f>
        <v>683.74</v>
      </c>
      <c r="F16" s="32">
        <f t="shared" si="6"/>
        <v>0.18754234336042394</v>
      </c>
      <c r="G16" s="28">
        <f t="shared" si="4"/>
        <v>-36.788999999999987</v>
      </c>
      <c r="H16" s="33">
        <f t="shared" si="7"/>
        <v>-1.01</v>
      </c>
      <c r="I16" s="26">
        <f t="shared" si="8"/>
        <v>-5.1058319651256213E-2</v>
      </c>
    </row>
    <row r="17" spans="1:9" x14ac:dyDescent="0.3">
      <c r="A17" s="5" t="s">
        <v>25</v>
      </c>
      <c r="B17" s="36">
        <f>'[1]ATTIS Summary Tables'!$J$617/1000</f>
        <v>10430.799999999999</v>
      </c>
      <c r="C17" s="36">
        <f>'[2]SPM poverty tables'!$E$617/1000</f>
        <v>951.55799999999999</v>
      </c>
      <c r="D17" s="26">
        <f t="shared" si="5"/>
        <v>9.1225792844268905E-2</v>
      </c>
      <c r="E17" s="36">
        <f>'[3]SPM tables'!$E$617/1000</f>
        <v>926.07399999999996</v>
      </c>
      <c r="F17" s="32">
        <f t="shared" si="6"/>
        <v>8.8782643709015605E-2</v>
      </c>
      <c r="G17" s="28">
        <f t="shared" si="4"/>
        <v>-25.484000000000037</v>
      </c>
      <c r="H17" s="33">
        <f t="shared" si="7"/>
        <v>-0.24</v>
      </c>
      <c r="I17" s="26">
        <f t="shared" si="8"/>
        <v>-2.6781341757412619E-2</v>
      </c>
    </row>
    <row r="18" spans="1:9" x14ac:dyDescent="0.3">
      <c r="A18" s="5" t="s">
        <v>60</v>
      </c>
      <c r="B18" s="36">
        <f>'[1]ATTIS Summary Tables'!$J$621/1000</f>
        <v>549.71500000000003</v>
      </c>
      <c r="C18" s="36">
        <f>'[2]SPM poverty tables'!$E$621/1000</f>
        <v>92.742999999999995</v>
      </c>
      <c r="D18" s="26">
        <f t="shared" si="5"/>
        <v>0.16871105936712658</v>
      </c>
      <c r="E18" s="36">
        <f>'[3]SPM tables'!$E$621/1000</f>
        <v>91.444999999999993</v>
      </c>
      <c r="F18" s="32">
        <f t="shared" si="6"/>
        <v>0.16634983582401788</v>
      </c>
      <c r="G18" s="28">
        <f t="shared" si="4"/>
        <v>-1.2980000000000018</v>
      </c>
      <c r="H18" s="33">
        <f t="shared" si="7"/>
        <v>-0.24</v>
      </c>
      <c r="I18" s="26">
        <f t="shared" si="8"/>
        <v>-1.3995665441057566E-2</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1441.01</v>
      </c>
      <c r="F20" s="32">
        <f t="shared" ref="F20:F21" si="10">E20/$B20</f>
        <v>0.17712704628871631</v>
      </c>
      <c r="G20" s="28">
        <f t="shared" si="4"/>
        <v>-76.6099999999999</v>
      </c>
      <c r="H20" s="38">
        <f t="shared" ref="H20:H21" si="11">ROUND((F20-D20)*100,2)</f>
        <v>-0.94</v>
      </c>
      <c r="I20" s="32">
        <f t="shared" ref="I20:I21" si="12">(E20-C20)/C20</f>
        <v>-5.0480357401721056E-2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1017.62</v>
      </c>
      <c r="F21" s="41">
        <f t="shared" si="10"/>
        <v>9.4711311152558902E-2</v>
      </c>
      <c r="G21" s="42">
        <f t="shared" si="4"/>
        <v>-21.560000000000059</v>
      </c>
      <c r="H21" s="43">
        <f t="shared" si="11"/>
        <v>-0.2</v>
      </c>
      <c r="I21" s="41">
        <f t="shared" si="12"/>
        <v>-2.0747127542870395E-2</v>
      </c>
    </row>
    <row r="22" spans="1:9" ht="15" customHeight="1" x14ac:dyDescent="0.3">
      <c r="A22" s="74" t="s">
        <v>86</v>
      </c>
      <c r="B22" s="74"/>
      <c r="C22" s="74"/>
      <c r="D22" s="74"/>
      <c r="E22" s="74"/>
      <c r="F22" s="74"/>
      <c r="G22" s="74"/>
      <c r="H22" s="74"/>
      <c r="I22" s="74"/>
    </row>
    <row r="23" spans="1:9" ht="41.25" customHeight="1" x14ac:dyDescent="0.3">
      <c r="A23" s="75" t="s">
        <v>62</v>
      </c>
      <c r="B23" s="75"/>
      <c r="C23" s="75"/>
      <c r="D23" s="75"/>
      <c r="E23" s="75"/>
      <c r="F23" s="75"/>
      <c r="G23" s="75"/>
      <c r="H23" s="75"/>
      <c r="I23" s="75"/>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134</v>
      </c>
      <c r="B2" s="25"/>
    </row>
    <row r="3" spans="1:9" x14ac:dyDescent="0.3">
      <c r="A3" s="71" t="s">
        <v>145</v>
      </c>
      <c r="B3" s="25"/>
    </row>
    <row r="4" spans="1:9" x14ac:dyDescent="0.3">
      <c r="A4" s="1" t="s">
        <v>112</v>
      </c>
      <c r="E4" s="72"/>
      <c r="F4" s="72"/>
      <c r="G4" s="72"/>
    </row>
    <row r="5" spans="1:9" ht="31.5" customHeight="1" thickBot="1" x14ac:dyDescent="0.35">
      <c r="E5" s="73" t="s">
        <v>133</v>
      </c>
      <c r="F5" s="73"/>
      <c r="G5" s="73"/>
      <c r="H5" s="73"/>
      <c r="I5" s="73"/>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655.79600000000005</v>
      </c>
      <c r="F9" s="26">
        <f>E9/$B$7</f>
        <v>3.473514160562291E-2</v>
      </c>
      <c r="G9" s="28">
        <f>E9-C9</f>
        <v>-11.756999999999948</v>
      </c>
      <c r="H9" s="33">
        <f>ROUND((F9-D9)*100,2)</f>
        <v>-0.06</v>
      </c>
      <c r="I9" s="26">
        <f>(E9-C9)/C9</f>
        <v>-1.7612084733346939E-2</v>
      </c>
    </row>
    <row r="10" spans="1:9" x14ac:dyDescent="0.3">
      <c r="A10" s="5" t="s">
        <v>2</v>
      </c>
      <c r="B10" s="47"/>
      <c r="C10" s="36">
        <f>'[2]SPM poverty tables'!$E$615/1000</f>
        <v>2556.8000000000002</v>
      </c>
      <c r="D10" s="26">
        <f t="shared" ref="D10:D12" si="0">C10/$B$7</f>
        <v>0.13542444610405777</v>
      </c>
      <c r="E10" s="36">
        <f>'[3]SPM tables'!$E$615/1000</f>
        <v>2458.63</v>
      </c>
      <c r="F10" s="26">
        <f t="shared" ref="F10" si="1">E10/$B$7</f>
        <v>0.13022473635983242</v>
      </c>
      <c r="G10" s="28">
        <f t="shared" ref="G10:G45" si="2">E10-C10</f>
        <v>-98.170000000000073</v>
      </c>
      <c r="H10" s="33">
        <f t="shared" ref="H10:H12" si="3">ROUND((F10-D10)*100,2)</f>
        <v>-0.52</v>
      </c>
      <c r="I10" s="26">
        <f t="shared" ref="I10:I12" si="4">(E10-C10)/C10</f>
        <v>-3.8395650813516924E-2</v>
      </c>
    </row>
    <row r="11" spans="1:9" x14ac:dyDescent="0.3">
      <c r="A11" s="5" t="s">
        <v>3</v>
      </c>
      <c r="B11" s="47"/>
      <c r="C11" s="36">
        <f>'[2]SPM poverty tables'!$F$615/1000</f>
        <v>5822.72</v>
      </c>
      <c r="D11" s="26">
        <f t="shared" si="0"/>
        <v>0.30840841318015455</v>
      </c>
      <c r="E11" s="36">
        <f>'[3]SPM tables'!$F$615/1000</f>
        <v>5759.4</v>
      </c>
      <c r="F11" s="26">
        <f t="shared" ref="F11" si="5">E11/$B$7</f>
        <v>0.30505458185689538</v>
      </c>
      <c r="G11" s="28">
        <f t="shared" si="2"/>
        <v>-63.320000000000618</v>
      </c>
      <c r="H11" s="33">
        <f t="shared" si="3"/>
        <v>-0.34</v>
      </c>
      <c r="I11" s="26">
        <f t="shared" si="4"/>
        <v>-1.0874642778632771E-2</v>
      </c>
    </row>
    <row r="12" spans="1:9" x14ac:dyDescent="0.3">
      <c r="A12" s="5" t="s">
        <v>4</v>
      </c>
      <c r="B12" s="47"/>
      <c r="C12" s="36">
        <f>'[2]SPM poverty tables'!$G$615/1000</f>
        <v>8271.4599999999991</v>
      </c>
      <c r="D12" s="26">
        <f t="shared" si="0"/>
        <v>0.43810931201966102</v>
      </c>
      <c r="E12" s="36">
        <f>'[3]SPM tables'!$G$615/1000</f>
        <v>8241.34</v>
      </c>
      <c r="F12" s="26">
        <f t="shared" ref="F12" si="6">E12/$B$7</f>
        <v>0.43651396458667679</v>
      </c>
      <c r="G12" s="28">
        <f t="shared" si="2"/>
        <v>-30.119999999998981</v>
      </c>
      <c r="H12" s="33">
        <f t="shared" si="3"/>
        <v>-0.16</v>
      </c>
      <c r="I12" s="26">
        <f t="shared" si="4"/>
        <v>-3.6414369409994104E-3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83.924999999999997</v>
      </c>
      <c r="F15" s="26">
        <f>E15/$B$14</f>
        <v>2.1013137436059221E-2</v>
      </c>
      <c r="G15" s="28">
        <f t="shared" si="2"/>
        <v>-4.1970000000000027</v>
      </c>
      <c r="H15" s="33">
        <f>ROUND((F15-D15)*100,2)</f>
        <v>-0.11</v>
      </c>
      <c r="I15" s="26">
        <f t="shared" ref="I15:I18" si="7">(E15-C15)/C15</f>
        <v>-4.7627153264792027E-2</v>
      </c>
    </row>
    <row r="16" spans="1:9" x14ac:dyDescent="0.3">
      <c r="A16" s="13" t="s">
        <v>2</v>
      </c>
      <c r="B16" s="47"/>
      <c r="C16" s="36">
        <f>'[2]SPM poverty tables'!$E$633/1000</f>
        <v>556.33500000000004</v>
      </c>
      <c r="D16" s="26">
        <f t="shared" ref="D16:F18" si="8">C16/$B$14</f>
        <v>0.13929513036032179</v>
      </c>
      <c r="E16" s="36">
        <f>'[3]SPM tables'!$E$633/1000</f>
        <v>506.15100000000001</v>
      </c>
      <c r="F16" s="26">
        <f t="shared" si="8"/>
        <v>0.12673006287040584</v>
      </c>
      <c r="G16" s="28">
        <f t="shared" si="2"/>
        <v>-50.184000000000026</v>
      </c>
      <c r="H16" s="33">
        <f t="shared" ref="H16:H18" si="9">ROUND((F16-D16)*100,2)</f>
        <v>-1.26</v>
      </c>
      <c r="I16" s="26">
        <f t="shared" si="7"/>
        <v>-9.0204642886030945E-2</v>
      </c>
    </row>
    <row r="17" spans="1:9" x14ac:dyDescent="0.3">
      <c r="A17" s="13" t="s">
        <v>3</v>
      </c>
      <c r="B17" s="47"/>
      <c r="C17" s="36">
        <f>'[2]SPM poverty tables'!$F$633/1000</f>
        <v>1472.79</v>
      </c>
      <c r="D17" s="26">
        <f t="shared" si="8"/>
        <v>0.36875708888237901</v>
      </c>
      <c r="E17" s="36">
        <f>'[3]SPM tables'!$F$633/1000</f>
        <v>1437.78</v>
      </c>
      <c r="F17" s="26">
        <f t="shared" si="8"/>
        <v>0.35999128677768516</v>
      </c>
      <c r="G17" s="28">
        <f t="shared" si="2"/>
        <v>-35.009999999999991</v>
      </c>
      <c r="H17" s="33">
        <f t="shared" si="9"/>
        <v>-0.88</v>
      </c>
      <c r="I17" s="26">
        <f t="shared" si="7"/>
        <v>-2.3771209744770126E-2</v>
      </c>
    </row>
    <row r="18" spans="1:9" x14ac:dyDescent="0.3">
      <c r="A18" s="13" t="s">
        <v>4</v>
      </c>
      <c r="B18" s="47"/>
      <c r="C18" s="36">
        <f>'[2]SPM poverty tables'!$G$633/1000</f>
        <v>2095.7800000000002</v>
      </c>
      <c r="D18" s="26">
        <f t="shared" si="8"/>
        <v>0.52474129491503363</v>
      </c>
      <c r="E18" s="36">
        <f>'[3]SPM tables'!$G$633/1000</f>
        <v>2082.4499999999998</v>
      </c>
      <c r="F18" s="26">
        <f t="shared" si="8"/>
        <v>0.52140373016051855</v>
      </c>
      <c r="G18" s="28">
        <f t="shared" si="2"/>
        <v>-13.330000000000382</v>
      </c>
      <c r="H18" s="33">
        <f t="shared" si="9"/>
        <v>-0.33</v>
      </c>
      <c r="I18" s="26">
        <f t="shared" si="7"/>
        <v>-6.3604004237087768E-3</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24.042999999999999</v>
      </c>
      <c r="F20" s="26">
        <f>E20/$B$19</f>
        <v>2.1694191572623613E-2</v>
      </c>
      <c r="G20" s="28">
        <f t="shared" si="2"/>
        <v>-1.504999999999999</v>
      </c>
      <c r="H20" s="33">
        <f>ROUND((F20-D20)*100,2)</f>
        <v>-0.14000000000000001</v>
      </c>
      <c r="I20" s="26">
        <f t="shared" ref="I20:I23" si="10">(E20-C20)/C20</f>
        <v>-5.8908720839204599E-2</v>
      </c>
    </row>
    <row r="21" spans="1:9" x14ac:dyDescent="0.3">
      <c r="A21" s="13" t="s">
        <v>2</v>
      </c>
      <c r="B21" s="47"/>
      <c r="C21" s="36">
        <f>SUM('[2]SPM poverty tables'!$E$857:$E$858)/1000</f>
        <v>168.679</v>
      </c>
      <c r="D21" s="26">
        <f t="shared" ref="D21:F23" si="11">C21/$B$19</f>
        <v>0.15220041343753185</v>
      </c>
      <c r="E21" s="36">
        <f>SUM('[3]SPM tables'!$E$857:$E$858)/1000</f>
        <v>147.435</v>
      </c>
      <c r="F21" s="26">
        <f t="shared" si="11"/>
        <v>0.13303178199516544</v>
      </c>
      <c r="G21" s="28">
        <f t="shared" si="2"/>
        <v>-21.244</v>
      </c>
      <c r="H21" s="33">
        <f t="shared" ref="H21:H23" si="12">ROUND((F21-D21)*100,2)</f>
        <v>-1.92</v>
      </c>
      <c r="I21" s="26">
        <f t="shared" si="10"/>
        <v>-0.12594335987289468</v>
      </c>
    </row>
    <row r="22" spans="1:9" x14ac:dyDescent="0.3">
      <c r="A22" s="13" t="s">
        <v>3</v>
      </c>
      <c r="B22" s="47"/>
      <c r="C22" s="36">
        <f>SUM('[2]SPM poverty tables'!$F$857:$F$858)/1000</f>
        <v>434.59199999999998</v>
      </c>
      <c r="D22" s="26">
        <f t="shared" si="11"/>
        <v>0.39213584427607373</v>
      </c>
      <c r="E22" s="36">
        <f>SUM('[3]SPM tables'!$F$857:$F$858)/1000</f>
        <v>418.464</v>
      </c>
      <c r="F22" s="26">
        <f t="shared" si="11"/>
        <v>0.37758342063163364</v>
      </c>
      <c r="G22" s="28">
        <f t="shared" si="2"/>
        <v>-16.127999999999986</v>
      </c>
      <c r="H22" s="33">
        <f t="shared" si="12"/>
        <v>-1.46</v>
      </c>
      <c r="I22" s="26">
        <f t="shared" si="10"/>
        <v>-3.7110669317428728E-2</v>
      </c>
    </row>
    <row r="23" spans="1:9" x14ac:dyDescent="0.3">
      <c r="A23" s="13" t="s">
        <v>4</v>
      </c>
      <c r="B23" s="47"/>
      <c r="C23" s="36">
        <f>SUM('[2]SPM poverty tables'!$G$857:$G$858)/1000</f>
        <v>606.17700000000002</v>
      </c>
      <c r="D23" s="26">
        <f t="shared" si="11"/>
        <v>0.54695836480132531</v>
      </c>
      <c r="E23" s="36">
        <f>SUM('[3]SPM tables'!$G$857:$G$858)/1000</f>
        <v>598.70600000000002</v>
      </c>
      <c r="F23" s="26">
        <f t="shared" si="11"/>
        <v>0.54021722163121044</v>
      </c>
      <c r="G23" s="28">
        <f t="shared" si="2"/>
        <v>-7.4710000000000036</v>
      </c>
      <c r="H23" s="33">
        <f t="shared" si="12"/>
        <v>-0.67</v>
      </c>
      <c r="I23" s="26">
        <f t="shared" si="10"/>
        <v>-1.2324783025419974E-2</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571.87099999999998</v>
      </c>
      <c r="F25" s="26">
        <f>E25/$B$24</f>
        <v>3.8416880907004132E-2</v>
      </c>
      <c r="G25" s="28">
        <f t="shared" si="2"/>
        <v>-7.5600000000000591</v>
      </c>
      <c r="H25" s="33">
        <f>ROUND((F25-D25)*100,2)</f>
        <v>-0.05</v>
      </c>
      <c r="I25" s="26">
        <f t="shared" ref="I25:I27" si="13">(E25-C25)/C25</f>
        <v>-1.3047282592750575E-2</v>
      </c>
    </row>
    <row r="26" spans="1:9" x14ac:dyDescent="0.3">
      <c r="A26" s="13" t="s">
        <v>2</v>
      </c>
      <c r="B26" s="47"/>
      <c r="C26" s="36">
        <f>SUM('[2]SPM poverty tables'!$E$634:$E$637)/1000</f>
        <v>2000.4680000000001</v>
      </c>
      <c r="D26" s="26">
        <f t="shared" ref="D26:F28" si="14">C26/$B$24</f>
        <v>0.13438649785401383</v>
      </c>
      <c r="E26" s="36">
        <f>SUM('[3]SPM tables'!$E$634:$E$637)/1000</f>
        <v>1952.4749999999999</v>
      </c>
      <c r="F26" s="26">
        <f t="shared" si="14"/>
        <v>0.13116244668623323</v>
      </c>
      <c r="G26" s="28">
        <f t="shared" si="2"/>
        <v>-47.993000000000166</v>
      </c>
      <c r="H26" s="33">
        <f t="shared" ref="H26:H28" si="15">ROUND((F26-D26)*100,2)</f>
        <v>-0.32</v>
      </c>
      <c r="I26" s="26">
        <f t="shared" si="13"/>
        <v>-2.3990886132645044E-2</v>
      </c>
    </row>
    <row r="27" spans="1:9" x14ac:dyDescent="0.3">
      <c r="A27" s="13" t="s">
        <v>3</v>
      </c>
      <c r="B27" s="47"/>
      <c r="C27" s="36">
        <f>SUM('[2]SPM poverty tables'!$F$634:$F$637)/1000</f>
        <v>4349.9260000000004</v>
      </c>
      <c r="D27" s="26">
        <f t="shared" si="14"/>
        <v>0.29221728168814448</v>
      </c>
      <c r="E27" s="36">
        <f>SUM('[3]SPM tables'!$F$634:$F$637)/1000</f>
        <v>4321.6170000000002</v>
      </c>
      <c r="F27" s="26">
        <f t="shared" si="14"/>
        <v>0.29031555300878076</v>
      </c>
      <c r="G27" s="28">
        <f t="shared" si="2"/>
        <v>-28.309000000000196</v>
      </c>
      <c r="H27" s="33">
        <f t="shared" si="15"/>
        <v>-0.19</v>
      </c>
      <c r="I27" s="26">
        <f t="shared" si="13"/>
        <v>-6.50792680151345E-3</v>
      </c>
    </row>
    <row r="28" spans="1:9" x14ac:dyDescent="0.3">
      <c r="A28" s="13" t="s">
        <v>4</v>
      </c>
      <c r="B28" s="47"/>
      <c r="C28" s="36">
        <f>SUM('[2]SPM poverty tables'!$G$634:$G$637)/1000</f>
        <v>6175.6729999999998</v>
      </c>
      <c r="D28" s="26">
        <f t="shared" si="14"/>
        <v>0.41486645443045883</v>
      </c>
      <c r="E28" s="36">
        <f>SUM('[3]SPM tables'!$G$634:$G$637)/1000</f>
        <v>6158.893</v>
      </c>
      <c r="F28" s="26">
        <f t="shared" si="14"/>
        <v>0.41373921548737636</v>
      </c>
      <c r="G28" s="28">
        <f t="shared" si="2"/>
        <v>-16.779999999999745</v>
      </c>
      <c r="H28" s="33">
        <f t="shared" si="15"/>
        <v>-0.11</v>
      </c>
      <c r="I28" s="26">
        <f>(E28-C28)/C28</f>
        <v>-2.7171127745914893E-3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489.238</v>
      </c>
      <c r="F31" s="26">
        <f>E31/$B$30</f>
        <v>4.793565441979044E-2</v>
      </c>
      <c r="G31" s="28">
        <f t="shared" si="2"/>
        <v>-2.8349999999999795</v>
      </c>
      <c r="H31" s="33">
        <f t="shared" ref="H31:H34" si="16">ROUND((F31-D31)*100,2)</f>
        <v>-0.03</v>
      </c>
      <c r="I31" s="26">
        <f t="shared" ref="I31:I34" si="17">(E31-C31)/C31</f>
        <v>-5.7613402889408272E-3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1433.1320000000001</v>
      </c>
      <c r="F32" s="26">
        <f t="shared" si="18"/>
        <v>0.14041861075783793</v>
      </c>
      <c r="G32" s="28">
        <f t="shared" si="2"/>
        <v>-4.3440000000000509</v>
      </c>
      <c r="H32" s="33">
        <f t="shared" si="16"/>
        <v>-0.04</v>
      </c>
      <c r="I32" s="26">
        <f t="shared" si="17"/>
        <v>-3.0219634971297266E-3</v>
      </c>
    </row>
    <row r="33" spans="1:10" x14ac:dyDescent="0.3">
      <c r="A33" s="13" t="s">
        <v>3</v>
      </c>
      <c r="B33" s="47"/>
      <c r="C33" s="36">
        <f>('[2]SPM poverty tables'!$F$1033+'[2]SPM poverty tables'!$F$1259)/1000</f>
        <v>2834.0740000000001</v>
      </c>
      <c r="D33" s="26">
        <f t="shared" si="18"/>
        <v>0.27768323773728365</v>
      </c>
      <c r="E33" s="36">
        <f>('[3]SPM tables'!$F$1033+'[3]SPM tables'!$F$1259)/1000</f>
        <v>2833.5839999999998</v>
      </c>
      <c r="F33" s="26">
        <f t="shared" si="18"/>
        <v>0.27763522742192442</v>
      </c>
      <c r="G33" s="28">
        <f t="shared" si="2"/>
        <v>-0.49000000000023647</v>
      </c>
      <c r="H33" s="33">
        <f t="shared" si="16"/>
        <v>0</v>
      </c>
      <c r="I33" s="26">
        <f t="shared" si="17"/>
        <v>-1.7289597942757897E-4</v>
      </c>
    </row>
    <row r="34" spans="1:10" x14ac:dyDescent="0.3">
      <c r="A34" s="13" t="s">
        <v>4</v>
      </c>
      <c r="B34" s="47"/>
      <c r="C34" s="36">
        <f>('[2]SPM poverty tables'!$G$1033+'[2]SPM poverty tables'!$G$1259)/1000</f>
        <v>3935.57</v>
      </c>
      <c r="D34" s="26">
        <f t="shared" si="18"/>
        <v>0.38560807513908296</v>
      </c>
      <c r="E34" s="36">
        <f>('[3]SPM tables'!$G$1033+'[3]SPM tables'!$G$1259)/1000</f>
        <v>3933.83</v>
      </c>
      <c r="F34" s="26">
        <f t="shared" si="18"/>
        <v>0.38543758952944013</v>
      </c>
      <c r="G34" s="28">
        <f t="shared" si="2"/>
        <v>-1.7400000000002365</v>
      </c>
      <c r="H34" s="33">
        <f t="shared" si="16"/>
        <v>-0.02</v>
      </c>
      <c r="I34" s="26">
        <f t="shared" si="17"/>
        <v>-4.4212147160391924E-4</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344.26499999999999</v>
      </c>
      <c r="F37" s="26">
        <f>E37/$B$36</f>
        <v>4.2316599184311639E-2</v>
      </c>
      <c r="G37" s="28">
        <f t="shared" si="2"/>
        <v>-7.7560000000000286</v>
      </c>
      <c r="H37" s="33">
        <f t="shared" ref="H37:H40" si="19">ROUND((F37-D37)*100,2)</f>
        <v>-0.1</v>
      </c>
      <c r="I37" s="26">
        <f t="shared" ref="I37:I40" si="20">(E37-C37)/C37</f>
        <v>-2.2032776453677561E-2</v>
      </c>
      <c r="J37" s="19"/>
    </row>
    <row r="38" spans="1:10" x14ac:dyDescent="0.3">
      <c r="A38" s="13" t="s">
        <v>2</v>
      </c>
      <c r="B38" s="47"/>
      <c r="C38" s="36">
        <f>'[2]SPM poverty tables'!$D$2024/1000</f>
        <v>1517.62</v>
      </c>
      <c r="D38" s="26">
        <f t="shared" ref="D38:F40" si="21">C38/$B$36</f>
        <v>0.18654384632215018</v>
      </c>
      <c r="E38" s="36">
        <f>'[3]SPM tables'!$D$2024/1000</f>
        <v>1441.01</v>
      </c>
      <c r="F38" s="26">
        <f t="shared" si="21"/>
        <v>0.17712704628871631</v>
      </c>
      <c r="G38" s="28">
        <f t="shared" si="2"/>
        <v>-76.6099999999999</v>
      </c>
      <c r="H38" s="33">
        <f t="shared" si="19"/>
        <v>-0.94</v>
      </c>
      <c r="I38" s="26">
        <f t="shared" si="20"/>
        <v>-5.0480357401721056E-2</v>
      </c>
      <c r="J38" s="19"/>
    </row>
    <row r="39" spans="1:10" x14ac:dyDescent="0.3">
      <c r="A39" s="13" t="s">
        <v>3</v>
      </c>
      <c r="B39" s="47"/>
      <c r="C39" s="36">
        <f>'[2]SPM poverty tables'!$E$2024/1000</f>
        <v>3401.82</v>
      </c>
      <c r="D39" s="26">
        <f t="shared" si="21"/>
        <v>0.41814722216076289</v>
      </c>
      <c r="E39" s="36">
        <f>'[3]SPM tables'!$E$2024/1000</f>
        <v>3364.34</v>
      </c>
      <c r="F39" s="26">
        <f t="shared" si="21"/>
        <v>0.4135402300546005</v>
      </c>
      <c r="G39" s="28">
        <f t="shared" si="2"/>
        <v>-37.480000000000018</v>
      </c>
      <c r="H39" s="33">
        <f t="shared" si="19"/>
        <v>-0.46</v>
      </c>
      <c r="I39" s="26">
        <f t="shared" si="20"/>
        <v>-1.1017631738304794E-2</v>
      </c>
      <c r="J39" s="19"/>
    </row>
    <row r="40" spans="1:10" x14ac:dyDescent="0.3">
      <c r="A40" s="13" t="s">
        <v>4</v>
      </c>
      <c r="B40" s="47"/>
      <c r="C40" s="36">
        <f>'[2]SPM poverty tables'!$F$2024/1000</f>
        <v>4493.12</v>
      </c>
      <c r="D40" s="26">
        <f t="shared" si="21"/>
        <v>0.5522883770555076</v>
      </c>
      <c r="E40" s="36">
        <f>'[3]SPM tables'!$F$2024/1000</f>
        <v>4485.08</v>
      </c>
      <c r="F40" s="26">
        <f t="shared" si="21"/>
        <v>0.55130011087264885</v>
      </c>
      <c r="G40" s="28">
        <f t="shared" si="2"/>
        <v>-8.0399999999999636</v>
      </c>
      <c r="H40" s="33">
        <f t="shared" si="19"/>
        <v>-0.1</v>
      </c>
      <c r="I40" s="26">
        <f t="shared" si="20"/>
        <v>-1.7894024642119426E-3</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311.53100000000001</v>
      </c>
      <c r="F42" s="32">
        <f>E42/$B$41</f>
        <v>2.899462419632852E-2</v>
      </c>
      <c r="G42" s="28">
        <f t="shared" si="2"/>
        <v>-4.0009999999999764</v>
      </c>
      <c r="H42" s="38">
        <f t="shared" ref="H42:H45" si="22">ROUND((F42-D42)*100,2)</f>
        <v>-0.04</v>
      </c>
      <c r="I42" s="26">
        <f t="shared" ref="I42:I45" si="23">(E42-C42)/C42</f>
        <v>-1.2680171900155853E-2</v>
      </c>
    </row>
    <row r="43" spans="1:10" x14ac:dyDescent="0.3">
      <c r="A43" s="13" t="s">
        <v>2</v>
      </c>
      <c r="B43" s="47"/>
      <c r="C43" s="36">
        <f>('[2]SPM poverty tables'!$D$2044-'[2]SPM poverty tables'!$D$2024)/1000</f>
        <v>1039.18</v>
      </c>
      <c r="D43" s="37">
        <f t="shared" ref="D43:F45" si="24">C43/$B$41</f>
        <v>9.6717930390043602E-2</v>
      </c>
      <c r="E43" s="36">
        <f>('[3]SPM tables'!$D$2044-'[3]SPM tables'!$D$2024)/1000</f>
        <v>1017.62</v>
      </c>
      <c r="F43" s="32">
        <f t="shared" si="24"/>
        <v>9.4711311152558902E-2</v>
      </c>
      <c r="G43" s="28">
        <f t="shared" si="2"/>
        <v>-21.560000000000059</v>
      </c>
      <c r="H43" s="38">
        <f>ROUND((F43-D43)*100,2)</f>
        <v>-0.2</v>
      </c>
      <c r="I43" s="26">
        <f t="shared" si="23"/>
        <v>-2.0747127542870395E-2</v>
      </c>
    </row>
    <row r="44" spans="1:10" x14ac:dyDescent="0.3">
      <c r="A44" s="13" t="s">
        <v>3</v>
      </c>
      <c r="B44" s="47"/>
      <c r="C44" s="36">
        <f>('[2]SPM poverty tables'!$E$2044-'[2]SPM poverty tables'!$E$2024)/1000</f>
        <v>2420.9</v>
      </c>
      <c r="D44" s="37">
        <f t="shared" si="24"/>
        <v>0.22531653580828781</v>
      </c>
      <c r="E44" s="36">
        <f>('[3]SPM tables'!$E$2044-'[3]SPM tables'!$E$2024)/1000</f>
        <v>2395.06</v>
      </c>
      <c r="F44" s="32">
        <f t="shared" si="24"/>
        <v>0.22291157100788872</v>
      </c>
      <c r="G44" s="28">
        <f t="shared" si="2"/>
        <v>-25.840000000000146</v>
      </c>
      <c r="H44" s="38">
        <f t="shared" si="22"/>
        <v>-0.24</v>
      </c>
      <c r="I44" s="26">
        <f t="shared" si="23"/>
        <v>-1.0673716386467903E-2</v>
      </c>
    </row>
    <row r="45" spans="1:10" ht="13.5" thickBot="1" x14ac:dyDescent="0.35">
      <c r="A45" s="16" t="s">
        <v>4</v>
      </c>
      <c r="B45" s="48"/>
      <c r="C45" s="36">
        <f>('[2]SPM poverty tables'!$F$2044-'[2]SPM poverty tables'!$F$2024)/1000</f>
        <v>3778.34</v>
      </c>
      <c r="D45" s="40">
        <f t="shared" si="24"/>
        <v>0.35165536779953166</v>
      </c>
      <c r="E45" s="39">
        <f>('[3]SPM tables'!$F$2044-'[3]SPM tables'!$F$2024)/1000</f>
        <v>3756.26</v>
      </c>
      <c r="F45" s="41">
        <f t="shared" si="24"/>
        <v>0.34960035143758073</v>
      </c>
      <c r="G45" s="28">
        <f t="shared" si="2"/>
        <v>-22.079999999999927</v>
      </c>
      <c r="H45" s="43">
        <f t="shared" si="22"/>
        <v>-0.21</v>
      </c>
      <c r="I45" s="26">
        <f t="shared" si="23"/>
        <v>-5.8438361820270079E-3</v>
      </c>
    </row>
    <row r="46" spans="1:10" ht="14.25" customHeight="1" x14ac:dyDescent="0.3">
      <c r="A46" s="76" t="s">
        <v>86</v>
      </c>
      <c r="B46" s="76"/>
      <c r="C46" s="76"/>
      <c r="D46" s="76"/>
      <c r="E46" s="76"/>
      <c r="F46" s="76"/>
      <c r="G46" s="76"/>
      <c r="H46" s="76"/>
      <c r="I46" s="76"/>
    </row>
    <row r="47" spans="1:10" ht="28.5" customHeight="1" x14ac:dyDescent="0.3">
      <c r="A47" s="77" t="s">
        <v>92</v>
      </c>
      <c r="B47" s="77"/>
      <c r="C47" s="77"/>
      <c r="D47" s="77"/>
      <c r="E47" s="77"/>
      <c r="F47" s="77"/>
      <c r="G47" s="77"/>
      <c r="H47" s="77"/>
      <c r="I47" s="77"/>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135</v>
      </c>
      <c r="B2" s="25"/>
    </row>
    <row r="3" spans="1:9" x14ac:dyDescent="0.3">
      <c r="A3" s="71" t="s">
        <v>145</v>
      </c>
      <c r="B3" s="25"/>
    </row>
    <row r="4" spans="1:9" x14ac:dyDescent="0.3">
      <c r="A4" s="1" t="s">
        <v>112</v>
      </c>
      <c r="E4" s="72"/>
      <c r="F4" s="72"/>
      <c r="G4" s="72"/>
    </row>
    <row r="5" spans="1:9" ht="28.5" customHeight="1" thickBot="1" x14ac:dyDescent="0.35">
      <c r="E5" s="73" t="s">
        <v>133</v>
      </c>
      <c r="F5" s="73"/>
      <c r="G5" s="73"/>
      <c r="H5" s="73"/>
      <c r="I5" s="73"/>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95.665000000000006</v>
      </c>
      <c r="F10" s="26">
        <f>E10/$B$9</f>
        <v>5.8769504853176072E-2</v>
      </c>
      <c r="G10" s="28">
        <f>E10-C10</f>
        <v>-0.49899999999999523</v>
      </c>
      <c r="H10" s="33">
        <f>ROUND((F10-D10)*100,2)</f>
        <v>-0.03</v>
      </c>
      <c r="I10" s="26">
        <f>(E10-C10)/C10</f>
        <v>-5.1890520361049372E-3</v>
      </c>
    </row>
    <row r="11" spans="1:9" x14ac:dyDescent="0.3">
      <c r="A11" s="13" t="s">
        <v>2</v>
      </c>
      <c r="B11" s="47"/>
      <c r="C11" s="36">
        <f>'[2]SPM poverty tables'!$E$619/1000</f>
        <v>344.77100000000002</v>
      </c>
      <c r="D11" s="26">
        <f t="shared" ref="D11:D13" si="0">C11/$B$9</f>
        <v>0.21180181840520951</v>
      </c>
      <c r="E11" s="36">
        <f>'[3]SPM tables'!$E$619/1000</f>
        <v>325.31599999999997</v>
      </c>
      <c r="F11" s="26">
        <f t="shared" ref="F11:F13" si="1">E11/$B$9</f>
        <v>0.19985010443543433</v>
      </c>
      <c r="G11" s="28">
        <f t="shared" ref="G11:G60" si="2">E11-C11</f>
        <v>-19.455000000000041</v>
      </c>
      <c r="H11" s="33">
        <f t="shared" ref="H11:H13" si="3">ROUND((F11-D11)*100,2)</f>
        <v>-1.2</v>
      </c>
      <c r="I11" s="26">
        <f t="shared" ref="I11:I13" si="4">(E11-C11)/C11</f>
        <v>-5.6428759959509474E-2</v>
      </c>
    </row>
    <row r="12" spans="1:9" x14ac:dyDescent="0.3">
      <c r="A12" s="13" t="s">
        <v>3</v>
      </c>
      <c r="B12" s="47"/>
      <c r="C12" s="36">
        <f>'[2]SPM poverty tables'!$F$619/1000</f>
        <v>662.86699999999996</v>
      </c>
      <c r="D12" s="26">
        <f t="shared" si="0"/>
        <v>0.40721648851210224</v>
      </c>
      <c r="E12" s="36">
        <f>'[3]SPM tables'!$F$619/1000</f>
        <v>658.90099999999995</v>
      </c>
      <c r="F12" s="26">
        <f t="shared" si="1"/>
        <v>0.40478007126182575</v>
      </c>
      <c r="G12" s="28">
        <f t="shared" si="2"/>
        <v>-3.9660000000000082</v>
      </c>
      <c r="H12" s="33">
        <f t="shared" si="3"/>
        <v>-0.24</v>
      </c>
      <c r="I12" s="26">
        <f t="shared" si="4"/>
        <v>-5.9831006823390038E-3</v>
      </c>
    </row>
    <row r="13" spans="1:9" x14ac:dyDescent="0.3">
      <c r="A13" s="13" t="s">
        <v>4</v>
      </c>
      <c r="B13" s="47"/>
      <c r="C13" s="36">
        <f>'[2]SPM poverty tables'!$G$619/1000</f>
        <v>860.298</v>
      </c>
      <c r="D13" s="26">
        <f t="shared" si="0"/>
        <v>0.52850350165868043</v>
      </c>
      <c r="E13" s="36">
        <f>'[3]SPM tables'!$G$619/1000</f>
        <v>858.32500000000005</v>
      </c>
      <c r="F13" s="26">
        <f t="shared" si="1"/>
        <v>0.52729143629438513</v>
      </c>
      <c r="G13" s="28">
        <f t="shared" ref="G13" si="5">E13-C13</f>
        <v>-1.9729999999999563</v>
      </c>
      <c r="H13" s="33">
        <f t="shared" si="3"/>
        <v>-0.12</v>
      </c>
      <c r="I13" s="26">
        <f t="shared" si="4"/>
        <v>-2.2933913597380866E-3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110.624</v>
      </c>
      <c r="F15" s="26">
        <f>E15/$B$14</f>
        <v>4.2131080736258E-2</v>
      </c>
      <c r="G15" s="28">
        <f t="shared" si="2"/>
        <v>-1.8580000000000041</v>
      </c>
      <c r="H15" s="33">
        <f t="shared" ref="H15:H18" si="6">ROUND((F15-D15)*100,2)</f>
        <v>-7.0000000000000007E-2</v>
      </c>
      <c r="I15" s="26">
        <f t="shared" ref="I15:I18" si="7">(E15-C15)/C15</f>
        <v>-1.6518198467310362E-2</v>
      </c>
    </row>
    <row r="16" spans="1:9" x14ac:dyDescent="0.3">
      <c r="A16" s="13" t="s">
        <v>2</v>
      </c>
      <c r="B16" s="47"/>
      <c r="C16" s="36">
        <f>'[2]SPM poverty tables'!$E$618/1000</f>
        <v>447.202</v>
      </c>
      <c r="D16" s="26">
        <f t="shared" ref="D16:D18" si="8">C16/$B$14</f>
        <v>0.17031660008150176</v>
      </c>
      <c r="E16" s="36">
        <f>'[3]SPM tables'!$E$618/1000</f>
        <v>432.05099999999999</v>
      </c>
      <c r="F16" s="26">
        <f t="shared" ref="F16:F18" si="9">E16/$B$14</f>
        <v>0.16454635127260817</v>
      </c>
      <c r="G16" s="28">
        <f t="shared" si="2"/>
        <v>-15.15100000000001</v>
      </c>
      <c r="H16" s="33">
        <f t="shared" si="6"/>
        <v>-0.57999999999999996</v>
      </c>
      <c r="I16" s="26">
        <f t="shared" si="7"/>
        <v>-3.3879544366975128E-2</v>
      </c>
    </row>
    <row r="17" spans="1:9" x14ac:dyDescent="0.3">
      <c r="A17" s="13" t="s">
        <v>3</v>
      </c>
      <c r="B17" s="47"/>
      <c r="C17" s="36">
        <f>'[2]SPM poverty tables'!$F$618/1000</f>
        <v>1130.75</v>
      </c>
      <c r="D17" s="26">
        <f t="shared" si="8"/>
        <v>0.43064542542778905</v>
      </c>
      <c r="E17" s="36">
        <f>'[3]SPM tables'!$F$618/1000</f>
        <v>1112.69</v>
      </c>
      <c r="F17" s="26">
        <f t="shared" si="9"/>
        <v>0.42376728580079293</v>
      </c>
      <c r="G17" s="28">
        <f t="shared" si="2"/>
        <v>-18.059999999999945</v>
      </c>
      <c r="H17" s="33">
        <f t="shared" si="6"/>
        <v>-0.69</v>
      </c>
      <c r="I17" s="26">
        <f t="shared" si="7"/>
        <v>-1.5971700198982929E-2</v>
      </c>
    </row>
    <row r="18" spans="1:9" x14ac:dyDescent="0.3">
      <c r="A18" s="13" t="s">
        <v>4</v>
      </c>
      <c r="B18" s="47"/>
      <c r="C18" s="36">
        <f>'[2]SPM poverty tables'!$G$618/1000</f>
        <v>1540.47</v>
      </c>
      <c r="D18" s="26">
        <f t="shared" si="8"/>
        <v>0.58668702941299689</v>
      </c>
      <c r="E18" s="36">
        <f>'[3]SPM tables'!$G$618/1000</f>
        <v>1536.21</v>
      </c>
      <c r="F18" s="26">
        <f t="shared" si="9"/>
        <v>0.58506461109566554</v>
      </c>
      <c r="G18" s="28">
        <f t="shared" si="2"/>
        <v>-4.2599999999999909</v>
      </c>
      <c r="H18" s="33">
        <f t="shared" si="6"/>
        <v>-0.16</v>
      </c>
      <c r="I18" s="26">
        <f t="shared" si="7"/>
        <v>-2.7653897836374553E-3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143.82300000000001</v>
      </c>
      <c r="F20" s="26">
        <f>E20/$B$19</f>
        <v>3.9449063166007915E-2</v>
      </c>
      <c r="G20" s="28">
        <f t="shared" si="2"/>
        <v>-4.525999999999982</v>
      </c>
      <c r="H20" s="33">
        <f t="shared" ref="H20:H23" si="10">ROUND((F20-D20)*100,2)</f>
        <v>-0.12</v>
      </c>
      <c r="I20" s="26">
        <f t="shared" ref="I20:I23" si="11">(E20-C20)/C20</f>
        <v>-3.0509137237190561E-2</v>
      </c>
    </row>
    <row r="21" spans="1:9" x14ac:dyDescent="0.3">
      <c r="A21" s="13" t="s">
        <v>2</v>
      </c>
      <c r="B21" s="47"/>
      <c r="C21" s="36">
        <f>'[2]SPM poverty tables'!$E$620/1000</f>
        <v>720.529</v>
      </c>
      <c r="D21" s="26">
        <f t="shared" ref="D21:D23" si="12">C21/$B$19</f>
        <v>0.1976331604398498</v>
      </c>
      <c r="E21" s="36">
        <f>'[3]SPM tables'!$E$620/1000</f>
        <v>683.74</v>
      </c>
      <c r="F21" s="26">
        <f t="shared" ref="F21:F23" si="13">E21/$B$19</f>
        <v>0.18754234336042394</v>
      </c>
      <c r="G21" s="28">
        <f t="shared" si="2"/>
        <v>-36.788999999999987</v>
      </c>
      <c r="H21" s="33">
        <f t="shared" si="10"/>
        <v>-1.01</v>
      </c>
      <c r="I21" s="26">
        <f t="shared" si="11"/>
        <v>-5.1058319651256213E-2</v>
      </c>
    </row>
    <row r="22" spans="1:9" x14ac:dyDescent="0.3">
      <c r="A22" s="13" t="s">
        <v>3</v>
      </c>
      <c r="B22" s="47"/>
      <c r="C22" s="36">
        <f>'[2]SPM poverty tables'!$F$620/1000</f>
        <v>1760.61</v>
      </c>
      <c r="D22" s="26">
        <f t="shared" si="12"/>
        <v>0.48291591122911631</v>
      </c>
      <c r="E22" s="36">
        <f>'[3]SPM tables'!$F$620/1000</f>
        <v>1744.83</v>
      </c>
      <c r="F22" s="26">
        <f t="shared" si="13"/>
        <v>0.47858763121298814</v>
      </c>
      <c r="G22" s="28">
        <f t="shared" si="2"/>
        <v>-15.779999999999973</v>
      </c>
      <c r="H22" s="33">
        <f t="shared" si="10"/>
        <v>-0.43</v>
      </c>
      <c r="I22" s="26">
        <f t="shared" si="11"/>
        <v>-8.9628026649854163E-3</v>
      </c>
    </row>
    <row r="23" spans="1:9" x14ac:dyDescent="0.3">
      <c r="A23" s="13" t="s">
        <v>4</v>
      </c>
      <c r="B23" s="47"/>
      <c r="C23" s="36">
        <f>'[2]SPM poverty tables'!$G$620/1000</f>
        <v>2395.02</v>
      </c>
      <c r="D23" s="26">
        <f t="shared" si="12"/>
        <v>0.65692757948208758</v>
      </c>
      <c r="E23" s="36">
        <f>'[3]SPM tables'!$G$620/1000</f>
        <v>2386.19</v>
      </c>
      <c r="F23" s="26">
        <f t="shared" si="13"/>
        <v>0.65450560783808176</v>
      </c>
      <c r="G23" s="28">
        <f t="shared" si="2"/>
        <v>-8.8299999999999272</v>
      </c>
      <c r="H23" s="33">
        <f t="shared" si="10"/>
        <v>-0.24</v>
      </c>
      <c r="I23" s="26">
        <f t="shared" si="11"/>
        <v>-3.6868168115506039E-3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284.76499999999999</v>
      </c>
      <c r="F25" s="26">
        <f>E25/$B$24</f>
        <v>2.7300398818882542E-2</v>
      </c>
      <c r="G25" s="28">
        <f t="shared" si="2"/>
        <v>-3.6399999999999864</v>
      </c>
      <c r="H25" s="33">
        <f t="shared" ref="H25:H28" si="14">ROUND((F25-D25)*100,2)</f>
        <v>-0.03</v>
      </c>
      <c r="I25" s="26">
        <f t="shared" ref="I25:I28" si="15">(E25-C25)/C25</f>
        <v>-1.2621140410187017E-2</v>
      </c>
    </row>
    <row r="26" spans="1:9" x14ac:dyDescent="0.3">
      <c r="A26" s="13" t="s">
        <v>2</v>
      </c>
      <c r="B26" s="47"/>
      <c r="C26" s="36">
        <f>'[2]SPM poverty tables'!$E$617/1000</f>
        <v>951.55799999999999</v>
      </c>
      <c r="D26" s="26">
        <f t="shared" ref="D26:D28" si="16">C26/$B$24</f>
        <v>9.1225792844268905E-2</v>
      </c>
      <c r="E26" s="36">
        <f>'[3]SPM tables'!$E$617/1000</f>
        <v>926.07399999999996</v>
      </c>
      <c r="F26" s="26">
        <f t="shared" ref="F26:F28" si="17">E26/$B$24</f>
        <v>8.8782643709015605E-2</v>
      </c>
      <c r="G26" s="28">
        <f t="shared" si="2"/>
        <v>-25.484000000000037</v>
      </c>
      <c r="H26" s="33">
        <f t="shared" si="14"/>
        <v>-0.24</v>
      </c>
      <c r="I26" s="26">
        <f t="shared" si="15"/>
        <v>-2.6781341757412619E-2</v>
      </c>
    </row>
    <row r="27" spans="1:9" x14ac:dyDescent="0.3">
      <c r="A27" s="13" t="s">
        <v>3</v>
      </c>
      <c r="B27" s="47"/>
      <c r="C27" s="36">
        <f>'[2]SPM poverty tables'!$F$617/1000</f>
        <v>2077.29</v>
      </c>
      <c r="D27" s="26">
        <f t="shared" si="16"/>
        <v>0.19914963377689152</v>
      </c>
      <c r="E27" s="36">
        <f>'[3]SPM tables'!$F$617/1000</f>
        <v>2053.64</v>
      </c>
      <c r="F27" s="26">
        <f t="shared" si="17"/>
        <v>0.19688231008168117</v>
      </c>
      <c r="G27" s="28">
        <f t="shared" si="2"/>
        <v>-23.650000000000091</v>
      </c>
      <c r="H27" s="33">
        <f t="shared" si="14"/>
        <v>-0.23</v>
      </c>
      <c r="I27" s="26">
        <f t="shared" si="15"/>
        <v>-1.138502568249984E-2</v>
      </c>
    </row>
    <row r="28" spans="1:9" x14ac:dyDescent="0.3">
      <c r="A28" s="13" t="s">
        <v>4</v>
      </c>
      <c r="B28" s="47"/>
      <c r="C28" s="36">
        <f>'[2]SPM poverty tables'!$G$617/1000</f>
        <v>3204.86</v>
      </c>
      <c r="D28" s="26">
        <f t="shared" si="16"/>
        <v>0.30724968362925187</v>
      </c>
      <c r="E28" s="36">
        <f>'[3]SPM tables'!$G$617/1000</f>
        <v>3190.7</v>
      </c>
      <c r="F28" s="26">
        <f t="shared" si="17"/>
        <v>0.30589216550983628</v>
      </c>
      <c r="G28" s="28">
        <f t="shared" si="2"/>
        <v>-14.160000000000309</v>
      </c>
      <c r="H28" s="33">
        <f t="shared" si="14"/>
        <v>-0.14000000000000001</v>
      </c>
      <c r="I28" s="26">
        <f t="shared" si="15"/>
        <v>-4.418289722484074E-3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20.919</v>
      </c>
      <c r="F30" s="26">
        <f>E30/$B$29</f>
        <v>3.8054264482504568E-2</v>
      </c>
      <c r="G30" s="28">
        <f t="shared" si="2"/>
        <v>-1.2339999999999982</v>
      </c>
      <c r="H30" s="33">
        <f t="shared" ref="H30:H33" si="18">ROUND((F30-D30)*100,2)</f>
        <v>-0.22</v>
      </c>
      <c r="I30" s="26">
        <f t="shared" ref="I30:I33" si="19">(E30-C30)/C30</f>
        <v>-5.5703516453753363E-2</v>
      </c>
    </row>
    <row r="31" spans="1:9" x14ac:dyDescent="0.3">
      <c r="A31" s="13" t="s">
        <v>2</v>
      </c>
      <c r="B31" s="47"/>
      <c r="C31" s="36">
        <f>'[2]SPM poverty tables'!$E$621/1000</f>
        <v>92.742999999999995</v>
      </c>
      <c r="D31" s="26">
        <f t="shared" ref="D31:D33" si="20">C31/$B$29</f>
        <v>0.16871105936712658</v>
      </c>
      <c r="E31" s="36">
        <f>'[3]SPM tables'!$E$621/1000</f>
        <v>91.444999999999993</v>
      </c>
      <c r="F31" s="26">
        <f t="shared" ref="F31:F33" si="21">E31/$B$29</f>
        <v>0.16634983582401788</v>
      </c>
      <c r="G31" s="28">
        <f t="shared" si="2"/>
        <v>-1.2980000000000018</v>
      </c>
      <c r="H31" s="33">
        <f t="shared" si="18"/>
        <v>-0.24</v>
      </c>
      <c r="I31" s="26">
        <f t="shared" si="19"/>
        <v>-1.3995665441057566E-2</v>
      </c>
    </row>
    <row r="32" spans="1:9" x14ac:dyDescent="0.3">
      <c r="A32" s="13" t="s">
        <v>3</v>
      </c>
      <c r="B32" s="47"/>
      <c r="C32" s="36">
        <f>'[2]SPM poverty tables'!$F$621/1000</f>
        <v>191.20500000000001</v>
      </c>
      <c r="D32" s="26">
        <f t="shared" si="20"/>
        <v>0.34782569149468362</v>
      </c>
      <c r="E32" s="36">
        <f>'[3]SPM tables'!$F$621/1000</f>
        <v>189.333</v>
      </c>
      <c r="F32" s="26">
        <f t="shared" si="21"/>
        <v>0.3444202905141755</v>
      </c>
      <c r="G32" s="28">
        <f t="shared" si="2"/>
        <v>-1.8720000000000141</v>
      </c>
      <c r="H32" s="33">
        <f t="shared" si="18"/>
        <v>-0.34</v>
      </c>
      <c r="I32" s="26">
        <f t="shared" si="19"/>
        <v>-9.7905389503413296E-3</v>
      </c>
    </row>
    <row r="33" spans="1:9" x14ac:dyDescent="0.3">
      <c r="A33" s="13" t="s">
        <v>4</v>
      </c>
      <c r="B33" s="47"/>
      <c r="C33" s="36">
        <f>'[2]SPM poverty tables'!$G$621/1000</f>
        <v>270.80799999999999</v>
      </c>
      <c r="D33" s="26">
        <f t="shared" si="20"/>
        <v>0.4926334555178592</v>
      </c>
      <c r="E33" s="36">
        <f>'[3]SPM tables'!$G$621/1000</f>
        <v>269.91399999999999</v>
      </c>
      <c r="F33" s="26">
        <f t="shared" si="21"/>
        <v>0.49100715825473196</v>
      </c>
      <c r="G33" s="28">
        <f t="shared" si="2"/>
        <v>-0.89400000000000546</v>
      </c>
      <c r="H33" s="33">
        <f t="shared" si="18"/>
        <v>-0.16</v>
      </c>
      <c r="I33" s="26">
        <f t="shared" si="19"/>
        <v>-3.301231869073312E-3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3">
      <c r="A38" s="13" t="s">
        <v>2</v>
      </c>
      <c r="B38" s="47"/>
      <c r="C38" s="36">
        <f>'[2]SPM poverty tables'!$E$843/1000</f>
        <v>55.503</v>
      </c>
      <c r="D38" s="26">
        <f t="shared" ref="D38:D39" si="24">C38/$B$36</f>
        <v>0.18344642497116245</v>
      </c>
      <c r="E38" s="36">
        <f>'[3]SPM tables'!$E$843/1000</f>
        <v>47.457999999999998</v>
      </c>
      <c r="F38" s="26">
        <f t="shared" ref="F38:F40" si="25">E38/$B$36</f>
        <v>0.15685639400179138</v>
      </c>
      <c r="G38" s="28">
        <f t="shared" si="2"/>
        <v>-8.0450000000000017</v>
      </c>
      <c r="H38" s="33">
        <f t="shared" si="22"/>
        <v>-2.66</v>
      </c>
      <c r="I38" s="26">
        <f t="shared" si="23"/>
        <v>-0.14494711997549686</v>
      </c>
    </row>
    <row r="39" spans="1:9" x14ac:dyDescent="0.3">
      <c r="A39" s="13" t="s">
        <v>3</v>
      </c>
      <c r="B39" s="47"/>
      <c r="C39" s="36">
        <f>'[2]SPM poverty tables'!$F$843/1000</f>
        <v>134.584</v>
      </c>
      <c r="D39" s="26">
        <f t="shared" si="24"/>
        <v>0.44482196743093033</v>
      </c>
      <c r="E39" s="36">
        <f>'[3]SPM tables'!$F$843/1000</f>
        <v>133.006</v>
      </c>
      <c r="F39" s="26">
        <f t="shared" si="25"/>
        <v>0.4396064212693806</v>
      </c>
      <c r="G39" s="28">
        <f t="shared" si="2"/>
        <v>-1.578000000000003</v>
      </c>
      <c r="H39" s="33">
        <f t="shared" si="22"/>
        <v>-0.52</v>
      </c>
      <c r="I39" s="26">
        <f t="shared" si="23"/>
        <v>-1.1725019318789774E-2</v>
      </c>
    </row>
    <row r="40" spans="1:9" x14ac:dyDescent="0.3">
      <c r="A40" s="13" t="s">
        <v>4</v>
      </c>
      <c r="B40" s="47"/>
      <c r="C40" s="36">
        <f>'[2]SPM poverty tables'!$G$843/1000</f>
        <v>176.048</v>
      </c>
      <c r="D40" s="26">
        <f>C40/$B$36</f>
        <v>0.58186721840843214</v>
      </c>
      <c r="E40" s="36">
        <f>'[3]SPM tables'!$G$843/1000</f>
        <v>175.39500000000001</v>
      </c>
      <c r="F40" s="26">
        <f t="shared" si="25"/>
        <v>0.57970894740495182</v>
      </c>
      <c r="G40" s="28">
        <f t="shared" si="2"/>
        <v>-0.65299999999999159</v>
      </c>
      <c r="H40" s="33">
        <f t="shared" si="22"/>
        <v>-0.22</v>
      </c>
      <c r="I40" s="26">
        <f t="shared" si="23"/>
        <v>-3.7092156684540101E-3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16.640999999999998</v>
      </c>
      <c r="F42" s="26">
        <f>E42/$B$41</f>
        <v>2.8626279202984935E-2</v>
      </c>
      <c r="G42" s="28">
        <f t="shared" si="2"/>
        <v>-0.48000000000000043</v>
      </c>
      <c r="H42" s="33">
        <f t="shared" ref="H42:H45" si="26">ROUND((F42-D42)*100,2)</f>
        <v>-0.08</v>
      </c>
      <c r="I42" s="26">
        <f t="shared" ref="I42:I45" si="27">(E42-C42)/C42</f>
        <v>-2.8035745575608929E-2</v>
      </c>
    </row>
    <row r="43" spans="1:9" x14ac:dyDescent="0.3">
      <c r="A43" s="13" t="s">
        <v>2</v>
      </c>
      <c r="B43" s="47"/>
      <c r="C43" s="36">
        <f>'[2]SPM poverty tables'!$E$842/1000</f>
        <v>90.269000000000005</v>
      </c>
      <c r="D43" s="26">
        <f t="shared" ref="D43:D45" si="28">C43/$B$41</f>
        <v>0.15528307177298525</v>
      </c>
      <c r="E43" s="36">
        <f>'[3]SPM tables'!$E$842/1000</f>
        <v>82.355999999999995</v>
      </c>
      <c r="F43" s="26">
        <f t="shared" ref="F43:F45" si="29">E43/$B$41</f>
        <v>0.14167092422576932</v>
      </c>
      <c r="G43" s="28">
        <f t="shared" si="2"/>
        <v>-7.9130000000000109</v>
      </c>
      <c r="H43" s="33">
        <f t="shared" si="26"/>
        <v>-1.36</v>
      </c>
      <c r="I43" s="26">
        <f t="shared" si="27"/>
        <v>-8.766021557788399E-2</v>
      </c>
    </row>
    <row r="44" spans="1:9" x14ac:dyDescent="0.3">
      <c r="A44" s="13" t="s">
        <v>3</v>
      </c>
      <c r="B44" s="47"/>
      <c r="C44" s="36">
        <f>'[2]SPM poverty tables'!$F$842/1000</f>
        <v>290.92399999999998</v>
      </c>
      <c r="D44" s="26">
        <f t="shared" si="28"/>
        <v>0.50045499975056729</v>
      </c>
      <c r="E44" s="36">
        <f>'[3]SPM tables'!$F$842/1000</f>
        <v>280.18099999999998</v>
      </c>
      <c r="F44" s="26">
        <f t="shared" si="29"/>
        <v>0.48197461290616683</v>
      </c>
      <c r="G44" s="28">
        <f t="shared" si="2"/>
        <v>-10.742999999999995</v>
      </c>
      <c r="H44" s="33">
        <f t="shared" si="26"/>
        <v>-1.85</v>
      </c>
      <c r="I44" s="26">
        <f t="shared" si="27"/>
        <v>-3.692716998253838E-2</v>
      </c>
    </row>
    <row r="45" spans="1:9" x14ac:dyDescent="0.3">
      <c r="A45" s="13" t="s">
        <v>4</v>
      </c>
      <c r="B45" s="47"/>
      <c r="C45" s="36">
        <f>'[2]SPM poverty tables'!$G$842/1000</f>
        <v>400.09300000000002</v>
      </c>
      <c r="D45" s="26">
        <f t="shared" si="28"/>
        <v>0.68825034103478477</v>
      </c>
      <c r="E45" s="36">
        <f>'[3]SPM tables'!$G$842/1000</f>
        <v>398.19600000000003</v>
      </c>
      <c r="F45" s="26">
        <f t="shared" si="29"/>
        <v>0.68498707250236113</v>
      </c>
      <c r="G45" s="28">
        <f t="shared" si="2"/>
        <v>-1.8969999999999914</v>
      </c>
      <c r="H45" s="33">
        <f t="shared" si="26"/>
        <v>-0.33</v>
      </c>
      <c r="I45" s="26">
        <f t="shared" si="27"/>
        <v>-4.7413976250521538E-3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26.698</v>
      </c>
      <c r="F47" s="26">
        <f>E47/$B$46</f>
        <v>2.6817848967033674E-2</v>
      </c>
      <c r="G47" s="28">
        <f t="shared" si="2"/>
        <v>-1.6050000000000004</v>
      </c>
      <c r="H47" s="33">
        <f t="shared" ref="H47:H50" si="30">ROUND((F47-D47)*100,2)</f>
        <v>-0.16</v>
      </c>
      <c r="I47" s="26">
        <f t="shared" ref="I47:I50" si="31">(E47-C47)/C47</f>
        <v>-5.6707769494399901E-2</v>
      </c>
    </row>
    <row r="48" spans="1:9" x14ac:dyDescent="0.3">
      <c r="A48" s="13" t="s">
        <v>2</v>
      </c>
      <c r="B48" s="47"/>
      <c r="C48" s="36">
        <f>'[2]SPM poverty tables'!$E$844/1000</f>
        <v>202.54900000000001</v>
      </c>
      <c r="D48" s="26">
        <f t="shared" ref="D48:D50" si="32">C48/$B$46</f>
        <v>0.20345825494133282</v>
      </c>
      <c r="E48" s="36">
        <f>'[3]SPM tables'!$E$844/1000</f>
        <v>184.37</v>
      </c>
      <c r="F48" s="26">
        <f t="shared" ref="F48:F50" si="33">E48/$B$46</f>
        <v>0.18519764829020896</v>
      </c>
      <c r="G48" s="28">
        <f t="shared" si="2"/>
        <v>-18.179000000000002</v>
      </c>
      <c r="H48" s="33">
        <f t="shared" si="30"/>
        <v>-1.83</v>
      </c>
      <c r="I48" s="26">
        <f t="shared" si="31"/>
        <v>-8.9751121950737853E-2</v>
      </c>
    </row>
    <row r="49" spans="1:9" x14ac:dyDescent="0.3">
      <c r="A49" s="13" t="s">
        <v>3</v>
      </c>
      <c r="B49" s="47"/>
      <c r="C49" s="36">
        <f>'[2]SPM poverty tables'!$F$844/1000</f>
        <v>530.75300000000004</v>
      </c>
      <c r="D49" s="26">
        <f t="shared" si="32"/>
        <v>0.53313558292006991</v>
      </c>
      <c r="E49" s="36">
        <f>'[3]SPM tables'!$F$844/1000</f>
        <v>521.80600000000004</v>
      </c>
      <c r="F49" s="26">
        <f t="shared" si="33"/>
        <v>0.52414841928578826</v>
      </c>
      <c r="G49" s="28">
        <f t="shared" si="2"/>
        <v>-8.9470000000000027</v>
      </c>
      <c r="H49" s="33">
        <f t="shared" si="30"/>
        <v>-0.9</v>
      </c>
      <c r="I49" s="26">
        <f t="shared" si="31"/>
        <v>-1.6857182154410812E-2</v>
      </c>
    </row>
    <row r="50" spans="1:9" x14ac:dyDescent="0.3">
      <c r="A50" s="13" t="s">
        <v>4</v>
      </c>
      <c r="B50" s="47"/>
      <c r="C50" s="36">
        <f>'[2]SPM poverty tables'!$G$843/1000</f>
        <v>176.048</v>
      </c>
      <c r="D50" s="26">
        <f t="shared" si="32"/>
        <v>0.17683829031943757</v>
      </c>
      <c r="E50" s="36">
        <f>'[3]SPM tables'!$G$843/1000</f>
        <v>175.39500000000001</v>
      </c>
      <c r="F50" s="26">
        <f t="shared" si="33"/>
        <v>0.17618235896220211</v>
      </c>
      <c r="G50" s="28">
        <f t="shared" si="2"/>
        <v>-0.65299999999999159</v>
      </c>
      <c r="H50" s="33">
        <f t="shared" si="30"/>
        <v>-7.0000000000000007E-2</v>
      </c>
      <c r="I50" s="26">
        <f t="shared" si="31"/>
        <v>-3.7092156684540101E-3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26.334</v>
      </c>
      <c r="F52" s="26">
        <f>E52/$B$51</f>
        <v>1.3783609783672594E-2</v>
      </c>
      <c r="G52" s="28">
        <f t="shared" si="2"/>
        <v>-1.5640000000000001</v>
      </c>
      <c r="H52" s="33">
        <f t="shared" ref="H52:H55" si="34">ROUND((F52-D52)*100,2)</f>
        <v>-0.08</v>
      </c>
      <c r="I52" s="26">
        <f t="shared" ref="I52:I55" si="35">(E52-C52)/C52</f>
        <v>-5.6061366406193996E-2</v>
      </c>
    </row>
    <row r="53" spans="1:9" x14ac:dyDescent="0.3">
      <c r="A53" s="13" t="s">
        <v>2</v>
      </c>
      <c r="B53" s="47"/>
      <c r="C53" s="36">
        <f>'[2]SPM poverty tables'!$E$841/1000</f>
        <v>176.56100000000001</v>
      </c>
      <c r="D53" s="26">
        <f t="shared" ref="D53:D55" si="36">C53/$B$51</f>
        <v>9.2414670274740526E-2</v>
      </c>
      <c r="E53" s="36">
        <f>'[3]SPM tables'!$E$841/1000</f>
        <v>161.423</v>
      </c>
      <c r="F53" s="26">
        <f t="shared" ref="F53:F55" si="37">E53/$B$51</f>
        <v>8.4491214479751692E-2</v>
      </c>
      <c r="G53" s="28">
        <f t="shared" si="2"/>
        <v>-15.138000000000005</v>
      </c>
      <c r="H53" s="33">
        <f t="shared" si="34"/>
        <v>-0.79</v>
      </c>
      <c r="I53" s="26">
        <f t="shared" si="35"/>
        <v>-8.5738073526996361E-2</v>
      </c>
    </row>
    <row r="54" spans="1:9" x14ac:dyDescent="0.3">
      <c r="A54" s="13" t="s">
        <v>3</v>
      </c>
      <c r="B54" s="47"/>
      <c r="C54" s="36">
        <f>'[2]SPM poverty tables'!$F$841/1000</f>
        <v>442.54300000000001</v>
      </c>
      <c r="D54" s="26">
        <f t="shared" si="36"/>
        <v>0.23163363045856386</v>
      </c>
      <c r="E54" s="36">
        <f>'[3]SPM tables'!$F$841/1000</f>
        <v>429.786</v>
      </c>
      <c r="F54" s="26">
        <f t="shared" si="37"/>
        <v>0.22495642570386229</v>
      </c>
      <c r="G54" s="28">
        <f t="shared" si="2"/>
        <v>-12.757000000000005</v>
      </c>
      <c r="H54" s="33">
        <f t="shared" si="34"/>
        <v>-0.67</v>
      </c>
      <c r="I54" s="26">
        <f t="shared" si="35"/>
        <v>-2.8826577304352355E-2</v>
      </c>
    </row>
    <row r="55" spans="1:9" x14ac:dyDescent="0.3">
      <c r="A55" s="13" t="s">
        <v>4</v>
      </c>
      <c r="B55" s="47"/>
      <c r="C55" s="36">
        <f>'[2]SPM poverty tables'!$G$841/1000</f>
        <v>698.625</v>
      </c>
      <c r="D55" s="26">
        <f t="shared" si="36"/>
        <v>0.36567078245303658</v>
      </c>
      <c r="E55" s="36">
        <f>'[3]SPM tables'!$G$841/1000</f>
        <v>692.07500000000005</v>
      </c>
      <c r="F55" s="26">
        <f t="shared" si="37"/>
        <v>0.3622424144085673</v>
      </c>
      <c r="G55" s="28">
        <f t="shared" si="2"/>
        <v>-6.5499999999999545</v>
      </c>
      <c r="H55" s="33">
        <f t="shared" si="34"/>
        <v>-0.34</v>
      </c>
      <c r="I55" s="26">
        <f t="shared" si="35"/>
        <v>-9.3755591340131759E-3</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5.0090000000000003</v>
      </c>
      <c r="F57" s="26">
        <f>E57/$B$56</f>
        <v>2.4554162295708785E-2</v>
      </c>
      <c r="G57" s="28">
        <f t="shared" si="2"/>
        <v>-0.54800000000000004</v>
      </c>
      <c r="H57" s="38">
        <f t="shared" ref="H57:H60" si="38">ROUND((F57-D57)*100,2)</f>
        <v>-0.27</v>
      </c>
      <c r="I57" s="26">
        <f t="shared" ref="I57:I60" si="39">(E57-C57)/C57</f>
        <v>-9.8614360266330761E-2</v>
      </c>
    </row>
    <row r="58" spans="1:9" x14ac:dyDescent="0.3">
      <c r="A58" s="13" t="s">
        <v>2</v>
      </c>
      <c r="B58" s="47"/>
      <c r="C58" s="36">
        <f>'[2]SPM poverty tables'!$E$845/1000</f>
        <v>31.452999999999999</v>
      </c>
      <c r="D58" s="37">
        <f t="shared" ref="D58:D60" si="40">C58/$B$56</f>
        <v>0.15418288414592302</v>
      </c>
      <c r="E58" s="36">
        <f>'[3]SPM tables'!$E$845/1000</f>
        <v>30.544</v>
      </c>
      <c r="F58" s="32">
        <f t="shared" ref="F58:F60" si="41">E58/$B$56</f>
        <v>0.14972695810743245</v>
      </c>
      <c r="G58" s="28">
        <f t="shared" si="2"/>
        <v>-0.90899999999999892</v>
      </c>
      <c r="H58" s="38">
        <f t="shared" si="38"/>
        <v>-0.45</v>
      </c>
      <c r="I58" s="26">
        <f t="shared" si="39"/>
        <v>-2.8900263885797823E-2</v>
      </c>
    </row>
    <row r="59" spans="1:9" x14ac:dyDescent="0.3">
      <c r="A59" s="13" t="s">
        <v>3</v>
      </c>
      <c r="B59" s="47"/>
      <c r="C59" s="36">
        <f>'[2]SPM poverty tables'!$F$845/1000</f>
        <v>73.986000000000004</v>
      </c>
      <c r="D59" s="37">
        <f t="shared" si="40"/>
        <v>0.36268002627476742</v>
      </c>
      <c r="E59" s="36">
        <f>'[3]SPM tables'!$F$845/1000</f>
        <v>73.006</v>
      </c>
      <c r="F59" s="32">
        <f t="shared" si="41"/>
        <v>0.35787605760840796</v>
      </c>
      <c r="G59" s="28">
        <f t="shared" si="2"/>
        <v>-0.98000000000000398</v>
      </c>
      <c r="H59" s="38">
        <f t="shared" si="38"/>
        <v>-0.48</v>
      </c>
      <c r="I59" s="26">
        <f t="shared" si="39"/>
        <v>-1.3245749195793851E-2</v>
      </c>
    </row>
    <row r="60" spans="1:9" ht="13.5" thickBot="1" x14ac:dyDescent="0.35">
      <c r="A60" s="16" t="s">
        <v>4</v>
      </c>
      <c r="B60" s="48"/>
      <c r="C60" s="39">
        <f>'[2]SPM poverty tables'!$G$845/1000</f>
        <v>104.681</v>
      </c>
      <c r="D60" s="40">
        <f t="shared" si="40"/>
        <v>0.51314718771752665</v>
      </c>
      <c r="E60" s="39">
        <f>'[3]SPM tables'!$G$845/1000</f>
        <v>104.32599999999999</v>
      </c>
      <c r="F60" s="41">
        <f t="shared" si="41"/>
        <v>0.51140697457818218</v>
      </c>
      <c r="G60" s="28">
        <f t="shared" si="2"/>
        <v>-0.35500000000000398</v>
      </c>
      <c r="H60" s="43">
        <f t="shared" si="38"/>
        <v>-0.17</v>
      </c>
      <c r="I60" s="26">
        <f t="shared" si="39"/>
        <v>-3.3912553376448831E-3</v>
      </c>
    </row>
    <row r="61" spans="1:9" ht="12.75" customHeight="1" x14ac:dyDescent="0.3">
      <c r="A61" s="78" t="s">
        <v>86</v>
      </c>
      <c r="B61" s="78"/>
      <c r="C61" s="78"/>
      <c r="D61" s="78"/>
      <c r="E61" s="78"/>
      <c r="F61" s="78"/>
      <c r="G61" s="78"/>
      <c r="H61" s="78"/>
      <c r="I61" s="78"/>
    </row>
    <row r="62" spans="1:9" ht="53.25" customHeight="1" x14ac:dyDescent="0.3">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136</v>
      </c>
      <c r="B2" s="25"/>
    </row>
    <row r="3" spans="1:10" x14ac:dyDescent="0.3">
      <c r="A3" s="71" t="s">
        <v>145</v>
      </c>
      <c r="B3" s="25"/>
    </row>
    <row r="4" spans="1:10" x14ac:dyDescent="0.3">
      <c r="A4" s="1" t="s">
        <v>112</v>
      </c>
      <c r="E4" s="72"/>
      <c r="F4" s="72"/>
      <c r="G4" s="72"/>
    </row>
    <row r="5" spans="1:10" ht="28.5" customHeight="1" thickBot="1" x14ac:dyDescent="0.35">
      <c r="E5" s="73" t="s">
        <v>133</v>
      </c>
      <c r="F5" s="73"/>
      <c r="G5" s="73"/>
      <c r="H5" s="73"/>
      <c r="I5" s="73"/>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437</v>
      </c>
      <c r="F9" s="32">
        <f>E9/$B$7</f>
        <v>5.4164600892414476E-2</v>
      </c>
      <c r="G9" s="28">
        <f>E9-C9</f>
        <v>-5</v>
      </c>
      <c r="H9" s="33">
        <f>ROUND((F9-D9)*100,2)</f>
        <v>-0.06</v>
      </c>
      <c r="I9" s="26">
        <f>(E9-C9)/C9</f>
        <v>-1.1312217194570135E-2</v>
      </c>
    </row>
    <row r="10" spans="1:10" x14ac:dyDescent="0.3">
      <c r="A10" s="5" t="s">
        <v>2</v>
      </c>
      <c r="B10" s="47"/>
      <c r="C10" s="36">
        <f>SUM('[2]SPM poverty tables'!$C$215:$C$218)</f>
        <v>1308</v>
      </c>
      <c r="D10" s="37">
        <f t="shared" ref="D10:F12" si="0">C10/$B$7</f>
        <v>0.16212196331184928</v>
      </c>
      <c r="E10" s="36">
        <f>SUM('[3]SPM tables'!$C$215:$C$218)</f>
        <v>1286</v>
      </c>
      <c r="F10" s="32">
        <f t="shared" si="0"/>
        <v>0.15939514129895885</v>
      </c>
      <c r="G10" s="28">
        <f t="shared" ref="G10:G46" si="1">E10-C10</f>
        <v>-22</v>
      </c>
      <c r="H10" s="33">
        <f t="shared" ref="H10:H12" si="2">ROUND((F10-D10)*100,2)</f>
        <v>-0.27</v>
      </c>
      <c r="I10" s="26">
        <f t="shared" ref="I10:I12" si="3">(E10-C10)/C10</f>
        <v>-1.6819571865443424E-2</v>
      </c>
    </row>
    <row r="11" spans="1:10" x14ac:dyDescent="0.3">
      <c r="A11" s="5" t="s">
        <v>3</v>
      </c>
      <c r="B11" s="47"/>
      <c r="C11" s="36">
        <f>SUM('[2]SPM poverty tables'!$C$215:$C$220)</f>
        <v>2639</v>
      </c>
      <c r="D11" s="37">
        <f t="shared" si="0"/>
        <v>0.3270946950917204</v>
      </c>
      <c r="E11" s="36">
        <f>SUM('[3]SPM tables'!$C$215:$C$220)</f>
        <v>2625</v>
      </c>
      <c r="F11" s="32">
        <f t="shared" si="0"/>
        <v>0.32535944471988099</v>
      </c>
      <c r="G11" s="28">
        <f t="shared" si="1"/>
        <v>-14</v>
      </c>
      <c r="H11" s="33">
        <f t="shared" si="2"/>
        <v>-0.17</v>
      </c>
      <c r="I11" s="26">
        <f t="shared" si="3"/>
        <v>-5.3050397877984082E-3</v>
      </c>
    </row>
    <row r="12" spans="1:10" x14ac:dyDescent="0.3">
      <c r="A12" s="5" t="s">
        <v>4</v>
      </c>
      <c r="B12" s="47"/>
      <c r="C12" s="36">
        <f>SUM('[2]SPM poverty tables'!$C$215:$C$222)</f>
        <v>3570</v>
      </c>
      <c r="D12" s="37">
        <f t="shared" si="0"/>
        <v>0.44248884481903816</v>
      </c>
      <c r="E12" s="36">
        <f>SUM('[3]SPM tables'!$C$215:$C$222)</f>
        <v>3564</v>
      </c>
      <c r="F12" s="32">
        <f t="shared" si="0"/>
        <v>0.44174516608824987</v>
      </c>
      <c r="G12" s="28">
        <f t="shared" si="1"/>
        <v>-6</v>
      </c>
      <c r="H12" s="33">
        <f t="shared" si="2"/>
        <v>-7.0000000000000007E-2</v>
      </c>
      <c r="I12" s="26">
        <f t="shared" si="3"/>
        <v>-1.6806722689075631E-3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391</v>
      </c>
      <c r="F15" s="32">
        <f>E15/$B$13</f>
        <v>6.5373683330546731E-2</v>
      </c>
      <c r="G15" s="28">
        <f t="shared" si="1"/>
        <v>-2</v>
      </c>
      <c r="H15" s="33">
        <f t="shared" ref="H15:H18" si="4">ROUND((F15-D15)*100,2)</f>
        <v>-0.03</v>
      </c>
      <c r="I15" s="26">
        <f t="shared" ref="I15:I18" si="5">(E15-C15)/C15</f>
        <v>-5.0890585241730284E-3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1917</v>
      </c>
      <c r="F17" s="32">
        <f t="shared" si="6"/>
        <v>0.32051496405283397</v>
      </c>
      <c r="G17" s="28">
        <f t="shared" si="1"/>
        <v>1</v>
      </c>
      <c r="H17" s="33">
        <f t="shared" si="4"/>
        <v>0.02</v>
      </c>
      <c r="I17" s="26">
        <f t="shared" si="5"/>
        <v>5.2192066805845506E-4</v>
      </c>
    </row>
    <row r="18" spans="1:9" x14ac:dyDescent="0.3">
      <c r="A18" s="5" t="s">
        <v>4</v>
      </c>
      <c r="B18" s="47"/>
      <c r="C18" s="36">
        <f>SUM('[2]SPM poverty tables'!$C$215:$C$222)-SUM('[2]SPM poverty tables'!$D$215:$D$222)</f>
        <v>2532</v>
      </c>
      <c r="D18" s="37">
        <f t="shared" si="6"/>
        <v>0.42334057849857881</v>
      </c>
      <c r="E18" s="36">
        <f>SUM('[3]SPM tables'!$C$215:$C$222)-SUM('[3]SPM tables'!$D$215:$D$222)</f>
        <v>2533</v>
      </c>
      <c r="F18" s="32">
        <f t="shared" si="6"/>
        <v>0.42350777461962885</v>
      </c>
      <c r="G18" s="28">
        <f t="shared" si="1"/>
        <v>1</v>
      </c>
      <c r="H18" s="33">
        <f t="shared" si="4"/>
        <v>0.02</v>
      </c>
      <c r="I18" s="26">
        <f t="shared" si="5"/>
        <v>3.9494470774091627E-4</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46</v>
      </c>
      <c r="F21" s="32">
        <f>E21/$B$19</f>
        <v>2.2041207474844275E-2</v>
      </c>
      <c r="G21" s="28">
        <f t="shared" si="1"/>
        <v>-3</v>
      </c>
      <c r="H21" s="33">
        <f t="shared" ref="H21:H24" si="7">ROUND((F21-D21)*100,2)</f>
        <v>-0.14000000000000001</v>
      </c>
      <c r="I21" s="26">
        <f t="shared" ref="I21:I24" si="8">(E21-C21)/C21</f>
        <v>-6.1224489795918366E-2</v>
      </c>
    </row>
    <row r="22" spans="1:9" x14ac:dyDescent="0.3">
      <c r="A22" s="5" t="s">
        <v>2</v>
      </c>
      <c r="B22" s="47"/>
      <c r="C22" s="36">
        <f>SUM('[2]SPM poverty tables'!$D$215:$D$218)</f>
        <v>280</v>
      </c>
      <c r="D22" s="37">
        <f t="shared" ref="D22:F24" si="9">C22/$B$19</f>
        <v>0.13416387158600862</v>
      </c>
      <c r="E22" s="36">
        <f>SUM('[3]SPM tables'!$D$215:$D$218)</f>
        <v>258</v>
      </c>
      <c r="F22" s="32">
        <f t="shared" si="9"/>
        <v>0.12362242453282224</v>
      </c>
      <c r="G22" s="28">
        <f t="shared" si="1"/>
        <v>-22</v>
      </c>
      <c r="H22" s="33">
        <f t="shared" si="7"/>
        <v>-1.05</v>
      </c>
      <c r="I22" s="26">
        <f t="shared" si="8"/>
        <v>-7.857142857142857E-2</v>
      </c>
    </row>
    <row r="23" spans="1:9" x14ac:dyDescent="0.3">
      <c r="A23" s="5" t="s">
        <v>3</v>
      </c>
      <c r="B23" s="47"/>
      <c r="C23" s="36">
        <f>SUM('[2]SPM poverty tables'!$D$215:$D$220)</f>
        <v>723</v>
      </c>
      <c r="D23" s="37">
        <f t="shared" si="9"/>
        <v>0.34643028270244369</v>
      </c>
      <c r="E23" s="36">
        <f>SUM('[3]SPM tables'!$D$215:$D$220)</f>
        <v>708</v>
      </c>
      <c r="F23" s="32">
        <f t="shared" si="9"/>
        <v>0.33924293243890752</v>
      </c>
      <c r="G23" s="28">
        <f t="shared" si="1"/>
        <v>-15</v>
      </c>
      <c r="H23" s="33">
        <f t="shared" si="7"/>
        <v>-0.72</v>
      </c>
      <c r="I23" s="26">
        <f t="shared" si="8"/>
        <v>-2.0746887966804978E-2</v>
      </c>
    </row>
    <row r="24" spans="1:9" x14ac:dyDescent="0.3">
      <c r="A24" s="5" t="s">
        <v>4</v>
      </c>
      <c r="B24" s="47"/>
      <c r="C24" s="36">
        <f>SUM('[2]SPM poverty tables'!$D$215:$D$222)</f>
        <v>1038</v>
      </c>
      <c r="D24" s="37">
        <f t="shared" si="9"/>
        <v>0.4973646382367034</v>
      </c>
      <c r="E24" s="36">
        <f>SUM('[3]SPM tables'!$D$215:$D$222)</f>
        <v>1031</v>
      </c>
      <c r="F24" s="32">
        <f t="shared" si="9"/>
        <v>0.4940105414470532</v>
      </c>
      <c r="G24" s="28">
        <f t="shared" si="1"/>
        <v>-7</v>
      </c>
      <c r="H24" s="33">
        <f t="shared" si="7"/>
        <v>-0.34</v>
      </c>
      <c r="I24" s="26">
        <f t="shared" si="8"/>
        <v>-6.7437379576107898E-3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311</v>
      </c>
      <c r="F29" s="32">
        <f t="shared" si="12"/>
        <v>0.23453996983408748</v>
      </c>
      <c r="G29" s="28">
        <f t="shared" si="1"/>
        <v>-7</v>
      </c>
      <c r="H29" s="33">
        <f t="shared" si="10"/>
        <v>-0.53</v>
      </c>
      <c r="I29" s="26">
        <f t="shared" si="11"/>
        <v>-2.20125786163522E-2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491</v>
      </c>
      <c r="F30" s="32">
        <f t="shared" si="12"/>
        <v>0.37028657616892913</v>
      </c>
      <c r="G30" s="28">
        <f t="shared" si="1"/>
        <v>-4</v>
      </c>
      <c r="H30" s="33">
        <f t="shared" si="10"/>
        <v>-0.3</v>
      </c>
      <c r="I30" s="26">
        <f t="shared" si="11"/>
        <v>-8.0808080808080808E-3</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3">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3">
      <c r="A34" s="13" t="s">
        <v>3</v>
      </c>
      <c r="B34" s="47"/>
      <c r="C34" s="36">
        <f>SUM('[2]SPM poverty tables'!$G$215:$H$220)</f>
        <v>405</v>
      </c>
      <c r="D34" s="37">
        <f t="shared" si="15"/>
        <v>0.53219448094612354</v>
      </c>
      <c r="E34" s="36">
        <f>SUM('[3]SPM tables'!$G$215:$H$220)</f>
        <v>397</v>
      </c>
      <c r="F34" s="32">
        <f t="shared" si="15"/>
        <v>0.52168199737187915</v>
      </c>
      <c r="G34" s="28">
        <f t="shared" si="1"/>
        <v>-8</v>
      </c>
      <c r="H34" s="33">
        <f t="shared" si="13"/>
        <v>-1.05</v>
      </c>
      <c r="I34" s="26">
        <f t="shared" si="14"/>
        <v>-1.9753086419753086E-2</v>
      </c>
    </row>
    <row r="35" spans="1:9" x14ac:dyDescent="0.3">
      <c r="A35" s="13" t="s">
        <v>4</v>
      </c>
      <c r="B35" s="47"/>
      <c r="C35" s="36">
        <f>SUM('[2]SPM poverty tables'!$G$215:$H$222)</f>
        <v>543</v>
      </c>
      <c r="D35" s="37">
        <f t="shared" si="15"/>
        <v>0.71353482260183965</v>
      </c>
      <c r="E35" s="36">
        <f>SUM('[3]SPM tables'!$G$215:$H$222)</f>
        <v>540</v>
      </c>
      <c r="F35" s="32">
        <f t="shared" si="15"/>
        <v>0.70959264126149801</v>
      </c>
      <c r="G35" s="28">
        <f t="shared" si="1"/>
        <v>-3</v>
      </c>
      <c r="H35" s="33">
        <f t="shared" si="13"/>
        <v>-0.39</v>
      </c>
      <c r="I35" s="26">
        <f t="shared" si="14"/>
        <v>-5.5248618784530384E-3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22.199000000000002</v>
      </c>
      <c r="F38" s="32">
        <f>E38/$B$37</f>
        <v>1.8295296083970951E-2</v>
      </c>
      <c r="G38" s="28">
        <f t="shared" si="1"/>
        <v>-1.102999999999998</v>
      </c>
      <c r="H38" s="33">
        <f t="shared" ref="H38:H41" si="16">ROUND((F38-D38)*100,2)</f>
        <v>-0.09</v>
      </c>
      <c r="I38" s="26">
        <f t="shared" ref="I38:I41" si="17">(E38-C38)/C38</f>
        <v>-4.73349927044888E-2</v>
      </c>
    </row>
    <row r="39" spans="1:9" x14ac:dyDescent="0.3">
      <c r="A39" s="13" t="s">
        <v>2</v>
      </c>
      <c r="B39" s="47"/>
      <c r="C39" s="36">
        <f>('[2]SPM poverty tables'!$D$2651-'[2]SPM poverty tables'!$D$2631)/1000</f>
        <v>114.416</v>
      </c>
      <c r="D39" s="37">
        <f t="shared" ref="D39:F41" si="18">C39/$B$37</f>
        <v>9.4295896064850671E-2</v>
      </c>
      <c r="E39" s="36">
        <f>('[3]SPM tables'!$D$2651-'[3]SPM tables'!$D$2631)/1000</f>
        <v>110.05</v>
      </c>
      <c r="F39" s="32">
        <f t="shared" si="18"/>
        <v>9.0697659085589577E-2</v>
      </c>
      <c r="G39" s="28">
        <f t="shared" si="1"/>
        <v>-4.3659999999999997</v>
      </c>
      <c r="H39" s="33">
        <f t="shared" si="16"/>
        <v>-0.36</v>
      </c>
      <c r="I39" s="26">
        <f t="shared" si="17"/>
        <v>-3.815899874143476E-2</v>
      </c>
    </row>
    <row r="40" spans="1:9" x14ac:dyDescent="0.3">
      <c r="A40" s="13" t="s">
        <v>3</v>
      </c>
      <c r="B40" s="47"/>
      <c r="C40" s="36">
        <f>('[2]SPM poverty tables'!$E$2651-'[2]SPM poverty tables'!$E$2631)/1000</f>
        <v>305.04700000000003</v>
      </c>
      <c r="D40" s="37">
        <f t="shared" si="18"/>
        <v>0.25140435085035751</v>
      </c>
      <c r="E40" s="36">
        <f>('[3]SPM tables'!$E$2651-'[3]SPM tables'!$E$2631)/1000</f>
        <v>298.08600000000001</v>
      </c>
      <c r="F40" s="32">
        <f t="shared" si="18"/>
        <v>0.24566744576271746</v>
      </c>
      <c r="G40" s="28">
        <f t="shared" si="1"/>
        <v>-6.9610000000000127</v>
      </c>
      <c r="H40" s="33">
        <f t="shared" si="16"/>
        <v>-0.56999999999999995</v>
      </c>
      <c r="I40" s="26">
        <f t="shared" si="17"/>
        <v>-2.2819434382242775E-2</v>
      </c>
    </row>
    <row r="41" spans="1:9" x14ac:dyDescent="0.3">
      <c r="A41" s="13" t="s">
        <v>4</v>
      </c>
      <c r="B41" s="47"/>
      <c r="C41" s="36">
        <f>('[2]SPM poverty tables'!$F$2651-'[2]SPM poverty tables'!$F$2631)/1000</f>
        <v>486</v>
      </c>
      <c r="D41" s="37">
        <f t="shared" si="18"/>
        <v>0.4005366861935169</v>
      </c>
      <c r="E41" s="36">
        <f>('[3]SPM tables'!$F$2651-'[3]SPM tables'!$F$2631)/1000</f>
        <v>480.65</v>
      </c>
      <c r="F41" s="32">
        <f t="shared" si="18"/>
        <v>0.39612748604714793</v>
      </c>
      <c r="G41" s="28">
        <f t="shared" si="1"/>
        <v>-5.3500000000000227</v>
      </c>
      <c r="H41" s="33">
        <f t="shared" si="16"/>
        <v>-0.44</v>
      </c>
      <c r="I41" s="26">
        <f t="shared" si="17"/>
        <v>-1.1008230452674943E-2</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24.256</v>
      </c>
      <c r="F43" s="32">
        <f>E43/$B$42</f>
        <v>2.7751018811108644E-2</v>
      </c>
      <c r="G43" s="28">
        <f t="shared" si="1"/>
        <v>-1.5229999999999997</v>
      </c>
      <c r="H43" s="38">
        <f t="shared" ref="H43:H46" si="19">ROUND((F43-D43)*100,2)</f>
        <v>-0.17</v>
      </c>
      <c r="I43" s="32">
        <f t="shared" ref="I43:I46" si="20">(E43-C43)/C43</f>
        <v>-5.9079095387718675E-2</v>
      </c>
    </row>
    <row r="44" spans="1:9" x14ac:dyDescent="0.3">
      <c r="A44" s="13" t="s">
        <v>2</v>
      </c>
      <c r="B44" s="47"/>
      <c r="C44" s="36">
        <f>'[2]SPM poverty tables'!$D$2631/1000</f>
        <v>165.648</v>
      </c>
      <c r="D44" s="37">
        <f t="shared" ref="D44:F46" si="21">C44/$B$42</f>
        <v>0.18951602754050645</v>
      </c>
      <c r="E44" s="36">
        <f>'[3]SPM tables'!$D$2631/1000</f>
        <v>148.79300000000001</v>
      </c>
      <c r="F44" s="32">
        <f t="shared" si="21"/>
        <v>0.17023241020618771</v>
      </c>
      <c r="G44" s="28">
        <f t="shared" si="1"/>
        <v>-16.85499999999999</v>
      </c>
      <c r="H44" s="38">
        <f t="shared" si="19"/>
        <v>-1.93</v>
      </c>
      <c r="I44" s="32">
        <f t="shared" si="20"/>
        <v>-0.10175190765961552</v>
      </c>
    </row>
    <row r="45" spans="1:9" x14ac:dyDescent="0.3">
      <c r="A45" s="13" t="s">
        <v>3</v>
      </c>
      <c r="B45" s="47"/>
      <c r="C45" s="36">
        <f>'[2]SPM poverty tables'!$E$2631/1000</f>
        <v>418.18700000000001</v>
      </c>
      <c r="D45" s="37">
        <f t="shared" si="21"/>
        <v>0.47844307814813208</v>
      </c>
      <c r="E45" s="36">
        <f>'[3]SPM tables'!$E$2631/1000</f>
        <v>410.28899999999999</v>
      </c>
      <c r="F45" s="32">
        <f t="shared" si="21"/>
        <v>0.46940706451974584</v>
      </c>
      <c r="G45" s="28">
        <f t="shared" si="1"/>
        <v>-7.8980000000000246</v>
      </c>
      <c r="H45" s="38">
        <f t="shared" si="19"/>
        <v>-0.9</v>
      </c>
      <c r="I45" s="32">
        <f t="shared" si="20"/>
        <v>-1.8886287713391434E-2</v>
      </c>
    </row>
    <row r="46" spans="1:9" ht="13.5" thickBot="1" x14ac:dyDescent="0.35">
      <c r="A46" s="16" t="s">
        <v>4</v>
      </c>
      <c r="B46" s="48"/>
      <c r="C46" s="39">
        <f>'[2]SPM poverty tables'!$F$2631/1000</f>
        <v>552.22</v>
      </c>
      <c r="D46" s="40">
        <f t="shared" si="21"/>
        <v>0.6317887371318609</v>
      </c>
      <c r="E46" s="39">
        <f>'[3]SPM tables'!$F$2631/1000</f>
        <v>550.79999999999995</v>
      </c>
      <c r="F46" s="41">
        <f t="shared" si="21"/>
        <v>0.63016413098444268</v>
      </c>
      <c r="G46" s="28">
        <f t="shared" si="1"/>
        <v>-1.4200000000000728</v>
      </c>
      <c r="H46" s="43">
        <f t="shared" si="19"/>
        <v>-0.16</v>
      </c>
      <c r="I46" s="41">
        <f t="shared" si="20"/>
        <v>-2.5714389192714364E-3</v>
      </c>
    </row>
    <row r="47" spans="1:9" ht="15" customHeight="1" x14ac:dyDescent="0.3">
      <c r="A47" s="76" t="s">
        <v>86</v>
      </c>
      <c r="B47" s="76"/>
      <c r="C47" s="76"/>
      <c r="D47" s="76"/>
      <c r="E47" s="76"/>
      <c r="F47" s="76"/>
      <c r="G47" s="76"/>
      <c r="H47" s="76"/>
      <c r="I47" s="76"/>
    </row>
    <row r="48" spans="1:9" ht="27" customHeight="1" x14ac:dyDescent="0.3">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24.816406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137</v>
      </c>
    </row>
    <row r="3" spans="1:2" x14ac:dyDescent="0.3">
      <c r="A3" s="71" t="s">
        <v>145</v>
      </c>
    </row>
    <row r="4" spans="1:2" x14ac:dyDescent="0.3">
      <c r="A4" s="1" t="s">
        <v>113</v>
      </c>
    </row>
    <row r="5" spans="1:2" ht="63.75" customHeight="1" thickBot="1" x14ac:dyDescent="0.35">
      <c r="A5" s="3"/>
      <c r="B5" s="23" t="s">
        <v>133</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1392.69</v>
      </c>
    </row>
    <row r="14" spans="1:2" x14ac:dyDescent="0.3">
      <c r="A14" s="5" t="s">
        <v>9</v>
      </c>
      <c r="B14" s="28">
        <f>'[3]CustomOutput (table 5)'!$D$14/1000</f>
        <v>1055.44</v>
      </c>
    </row>
    <row r="15" spans="1:2" x14ac:dyDescent="0.3">
      <c r="A15" s="5" t="s">
        <v>10</v>
      </c>
      <c r="B15" s="28">
        <f>'[3]CustomOutput (table 5)'!$D$15/1000</f>
        <v>695.85</v>
      </c>
    </row>
    <row r="16" spans="1:2" x14ac:dyDescent="0.3">
      <c r="A16" s="5" t="s">
        <v>11</v>
      </c>
      <c r="B16" s="28">
        <f>'[3]CustomOutput (table 5)'!$D$16/1000</f>
        <v>337.25200000000001</v>
      </c>
    </row>
    <row r="17" spans="1:2" x14ac:dyDescent="0.3">
      <c r="A17" s="12" t="s">
        <v>33</v>
      </c>
    </row>
    <row r="18" spans="1:2" x14ac:dyDescent="0.3">
      <c r="A18" s="5" t="s">
        <v>8</v>
      </c>
      <c r="B18" s="29">
        <f>IF(B13=0,"--",'[3]CustomOutput (table 5)'!$D$17/'[3]CustomOutput (table 5)'!$D$13)</f>
        <v>638.64894556577553</v>
      </c>
    </row>
    <row r="19" spans="1:2" x14ac:dyDescent="0.3">
      <c r="A19" s="5" t="s">
        <v>9</v>
      </c>
      <c r="B19" s="29">
        <f>IF(B14=0,"--",'[3]CustomOutput (table 5)'!$D$18/'[3]CustomOutput (table 5)'!$D$14)</f>
        <v>790.09228378685668</v>
      </c>
    </row>
    <row r="20" spans="1:2" x14ac:dyDescent="0.3">
      <c r="A20" s="5" t="s">
        <v>10</v>
      </c>
      <c r="B20" s="29">
        <f>IF(B15=0,"--",'[3]CustomOutput (table 5)'!$D$19/'[3]CustomOutput (table 5)'!$D$15)</f>
        <v>838.48961701516134</v>
      </c>
    </row>
    <row r="21" spans="1:2" x14ac:dyDescent="0.3">
      <c r="A21" s="5" t="s">
        <v>11</v>
      </c>
      <c r="B21" s="29">
        <f>IF(B16=0,"--",'[3]CustomOutput (table 5)'!$D$20/'[3]CustomOutput (table 5)'!$D$16)</f>
        <v>164.70146952427265</v>
      </c>
    </row>
    <row r="22" spans="1:2" x14ac:dyDescent="0.3">
      <c r="A22" s="1" t="s">
        <v>35</v>
      </c>
    </row>
    <row r="23" spans="1:2" x14ac:dyDescent="0.3">
      <c r="A23" s="12" t="s">
        <v>36</v>
      </c>
    </row>
    <row r="24" spans="1:2" x14ac:dyDescent="0.3">
      <c r="A24" s="5" t="s">
        <v>8</v>
      </c>
      <c r="B24" s="28">
        <f>+(B25+B27)</f>
        <v>28.355</v>
      </c>
    </row>
    <row r="25" spans="1:2" x14ac:dyDescent="0.3">
      <c r="A25" s="5" t="s">
        <v>9</v>
      </c>
      <c r="B25" s="28">
        <f>('[3]CustomOutput (table 5)'!$D$22)/1000</f>
        <v>21.86</v>
      </c>
    </row>
    <row r="26" spans="1:2" x14ac:dyDescent="0.3">
      <c r="A26" s="5" t="s">
        <v>10</v>
      </c>
      <c r="B26" s="28">
        <f>'[3]CustomOutput (table 5)'!$D$23/1000</f>
        <v>2.153</v>
      </c>
    </row>
    <row r="27" spans="1:2" x14ac:dyDescent="0.3">
      <c r="A27" s="5" t="s">
        <v>11</v>
      </c>
      <c r="B27" s="69">
        <f>'[3]CustomOutput (table 5)'!$D$24/1000</f>
        <v>6.4950000000000001</v>
      </c>
    </row>
    <row r="28" spans="1:2" x14ac:dyDescent="0.3">
      <c r="A28" s="12" t="s">
        <v>34</v>
      </c>
    </row>
    <row r="29" spans="1:2" x14ac:dyDescent="0.3">
      <c r="A29" s="5" t="s">
        <v>8</v>
      </c>
      <c r="B29" s="29">
        <f>IF(B24=0,"--",'[3]CustomOutput (table 5)'!$D$25/'[3]CustomOutput (table 5)'!$D$21)</f>
        <v>-227.63745371186741</v>
      </c>
    </row>
    <row r="30" spans="1:2" x14ac:dyDescent="0.3">
      <c r="A30" s="5" t="s">
        <v>9</v>
      </c>
      <c r="B30" s="29">
        <f>IF(B25=0,"--",'[3]CustomOutput (table 5)'!$D$26/'[3]CustomOutput (table 5)'!$D$22)</f>
        <v>-290.70722781335775</v>
      </c>
    </row>
    <row r="31" spans="1:2" x14ac:dyDescent="0.3">
      <c r="A31" s="5" t="s">
        <v>10</v>
      </c>
      <c r="B31" s="29">
        <f>IF(B26=0,"--",'[3]CustomOutput (table 5)'!$D$27/'[3]CustomOutput (table 5)'!$D$23)</f>
        <v>-415.09103576405016</v>
      </c>
    </row>
    <row r="32" spans="1:2" ht="13.5" thickBot="1" x14ac:dyDescent="0.35">
      <c r="A32" s="14" t="s">
        <v>11</v>
      </c>
      <c r="B32" s="29">
        <f>IF(B27=0,"--",'[3]CustomOutput (table 5)'!$D$28/'[3]CustomOutput (table 5)'!$D$24)</f>
        <v>-15.36540415704388</v>
      </c>
    </row>
    <row r="33" spans="1:5" ht="28.5" customHeight="1" x14ac:dyDescent="0.3">
      <c r="A33" s="76" t="s">
        <v>86</v>
      </c>
      <c r="B33" s="76"/>
    </row>
    <row r="34" spans="1:5" ht="40.5" customHeight="1" x14ac:dyDescent="0.3">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sheetPr>
    <tabColor theme="2" tint="-0.499984740745262"/>
  </sheetPr>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138</v>
      </c>
      <c r="B2" s="25"/>
    </row>
    <row r="3" spans="1:4" x14ac:dyDescent="0.3">
      <c r="A3" s="71"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6" t="s">
        <v>86</v>
      </c>
      <c r="B20" s="76"/>
      <c r="C20" s="76"/>
      <c r="D20" s="76"/>
    </row>
    <row r="21" spans="1:5" x14ac:dyDescent="0.3">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139</v>
      </c>
      <c r="B2" s="25"/>
      <c r="C2" s="25"/>
      <c r="D2" s="25"/>
      <c r="E2" s="25"/>
    </row>
    <row r="3" spans="1:7" x14ac:dyDescent="0.3">
      <c r="A3" s="71" t="s">
        <v>145</v>
      </c>
      <c r="B3" s="25"/>
      <c r="C3" s="25"/>
      <c r="D3" s="25"/>
      <c r="E3" s="25"/>
    </row>
    <row r="4" spans="1:7" x14ac:dyDescent="0.3">
      <c r="A4" s="1" t="s">
        <v>114</v>
      </c>
      <c r="B4" s="17" t="s">
        <v>63</v>
      </c>
    </row>
    <row r="5" spans="1:7" ht="44.25" customHeight="1" thickBot="1" x14ac:dyDescent="0.35">
      <c r="C5" s="79" t="s">
        <v>133</v>
      </c>
      <c r="D5" s="79"/>
      <c r="E5" s="79"/>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f>
        <v>35445.354240000001</v>
      </c>
      <c r="D44" s="29">
        <f t="shared" ref="D44" si="0">C44-B44</f>
        <v>-452.89600000000064</v>
      </c>
      <c r="E44" s="26">
        <f t="shared" ref="E44:E53" si="1">(C44-B44)/B44</f>
        <v>-1.2616102371902142E-2</v>
      </c>
    </row>
    <row r="45" spans="1:8" x14ac:dyDescent="0.3">
      <c r="A45" s="12" t="s">
        <v>87</v>
      </c>
      <c r="E45" s="26"/>
      <c r="F45" s="10"/>
      <c r="G45" s="21"/>
      <c r="H45" s="62"/>
    </row>
    <row r="46" spans="1:8" x14ac:dyDescent="0.3">
      <c r="A46" s="5" t="s">
        <v>89</v>
      </c>
      <c r="B46" s="28">
        <f>+'[2]key results (script)'!$B$278/1000</f>
        <v>1008.817</v>
      </c>
      <c r="C46" s="28">
        <f>'[3]Script (key results)'!$B$278/1000</f>
        <v>1022.699</v>
      </c>
      <c r="D46" s="28">
        <f>C46-B46</f>
        <v>13.881999999999948</v>
      </c>
      <c r="E46" s="26">
        <f t="shared" si="1"/>
        <v>1.3760672153621468E-2</v>
      </c>
      <c r="G46" s="21"/>
      <c r="H46" s="62"/>
    </row>
    <row r="47" spans="1:8" x14ac:dyDescent="0.3">
      <c r="A47" s="5" t="s">
        <v>90</v>
      </c>
      <c r="B47" s="29">
        <f>+(('[2]key results (script)'!$B$278)*'[2]key results (script)'!$B$279)/1000000</f>
        <v>624.45772299999999</v>
      </c>
      <c r="C47" s="29">
        <f>+('[3]Script (key results)'!$B$278*'[3]Script (key results)'!$B$279)/1000000</f>
        <v>819.18189900000004</v>
      </c>
      <c r="D47" s="29">
        <f>C47-B47</f>
        <v>194.72417600000006</v>
      </c>
      <c r="E47" s="26">
        <f t="shared" si="1"/>
        <v>0.31182923811801438</v>
      </c>
      <c r="G47" s="20"/>
    </row>
    <row r="48" spans="1:8" x14ac:dyDescent="0.3">
      <c r="A48" s="12" t="s">
        <v>144</v>
      </c>
      <c r="B48" s="29"/>
      <c r="C48" s="29"/>
      <c r="D48" s="29"/>
      <c r="E48" s="26"/>
      <c r="G48" s="20"/>
    </row>
    <row r="49" spans="1:8" x14ac:dyDescent="0.3">
      <c r="A49" s="5" t="s">
        <v>89</v>
      </c>
      <c r="B49" s="28">
        <f>+[2]ESCC!$B$8/1000</f>
        <v>1687.5719999999999</v>
      </c>
      <c r="C49" s="28">
        <f>+[3]ESCC!$B$8/1000</f>
        <v>2021.9069999999999</v>
      </c>
      <c r="D49" s="28">
        <f>C49-B49</f>
        <v>334.33500000000004</v>
      </c>
      <c r="E49" s="26">
        <f t="shared" ref="E49:E50" si="2">(C49-B49)/B49</f>
        <v>0.19811599149547401</v>
      </c>
      <c r="G49" s="20"/>
    </row>
    <row r="50" spans="1:8" x14ac:dyDescent="0.3">
      <c r="A50" s="5" t="s">
        <v>90</v>
      </c>
      <c r="B50" s="29">
        <f>+[2]ESCC!$C$8/1000000</f>
        <v>1018.078381</v>
      </c>
      <c r="C50" s="29">
        <f>+[3]ESCC!$C$8/1000000</f>
        <v>1312.6476789999999</v>
      </c>
      <c r="D50" s="29">
        <f>C50-B50</f>
        <v>294.56929799999989</v>
      </c>
      <c r="E50" s="26">
        <f t="shared" si="2"/>
        <v>0.28933852589096465</v>
      </c>
      <c r="G50" s="20"/>
    </row>
    <row r="51" spans="1:8" x14ac:dyDescent="0.3">
      <c r="A51" s="12" t="s">
        <v>88</v>
      </c>
      <c r="B51" s="29"/>
      <c r="C51" s="29"/>
      <c r="D51" s="29"/>
      <c r="E51" s="26"/>
      <c r="F51" s="10"/>
    </row>
    <row r="52" spans="1:8" x14ac:dyDescent="0.3">
      <c r="A52" s="5" t="s">
        <v>89</v>
      </c>
      <c r="B52" s="28">
        <f>+'[2]key results (script)'!$B$280/1000</f>
        <v>447.94299999999998</v>
      </c>
      <c r="C52" s="28">
        <f>'[3]Script (key results)'!$B$280/1000</f>
        <v>483.28699999999998</v>
      </c>
      <c r="D52" s="28">
        <f>C52-B52</f>
        <v>35.343999999999994</v>
      </c>
      <c r="E52" s="26">
        <f t="shared" si="1"/>
        <v>7.8902896127409056E-2</v>
      </c>
      <c r="F52" s="10"/>
      <c r="H52" s="62"/>
    </row>
    <row r="53" spans="1:8" x14ac:dyDescent="0.3">
      <c r="A53" s="5" t="s">
        <v>90</v>
      </c>
      <c r="B53" s="29">
        <f>+('[2]key results (script)'!$B$280*'[2]key results (script)'!$B$281)/1000000</f>
        <v>222.17972800000001</v>
      </c>
      <c r="C53" s="29">
        <f>+('[3]Script (key results)'!$B$280*'[3]Script (key results)'!$B$281)/1000000</f>
        <v>186.54878199999999</v>
      </c>
      <c r="D53" s="29">
        <f>C53-B53</f>
        <v>-35.630946000000023</v>
      </c>
      <c r="E53" s="26">
        <f t="shared" si="1"/>
        <v>-0.16036992357826643</v>
      </c>
      <c r="F53" s="10"/>
    </row>
    <row r="54" spans="1:8" x14ac:dyDescent="0.3">
      <c r="A54" s="12" t="s">
        <v>97</v>
      </c>
      <c r="E54" s="26"/>
      <c r="F54" s="10"/>
    </row>
    <row r="55" spans="1:8" x14ac:dyDescent="0.3">
      <c r="A55" s="5" t="s">
        <v>89</v>
      </c>
      <c r="B55" s="17">
        <v>0</v>
      </c>
      <c r="C55" s="17">
        <v>0</v>
      </c>
      <c r="D55" s="28">
        <f>C55-B55</f>
        <v>0</v>
      </c>
      <c r="E55" s="26" t="str">
        <f>IF(B55-C55&lt;&gt;0,(C55-B55)/B55,"--")</f>
        <v>--</v>
      </c>
      <c r="F55" s="10"/>
    </row>
    <row r="56" spans="1:8" x14ac:dyDescent="0.3">
      <c r="A56" s="5" t="s">
        <v>90</v>
      </c>
      <c r="B56" s="17">
        <v>0</v>
      </c>
      <c r="C56" s="17">
        <v>0</v>
      </c>
      <c r="D56" s="28">
        <f>C56-B56</f>
        <v>0</v>
      </c>
      <c r="E56" s="26" t="str">
        <f>IF(B56-C56&lt;&gt;0,(C56-B56)/B56,"--")</f>
        <v>--</v>
      </c>
      <c r="F56" s="10"/>
    </row>
    <row r="57" spans="1:8" x14ac:dyDescent="0.3">
      <c r="A57" s="5"/>
      <c r="D57" s="28"/>
      <c r="E57" s="26"/>
      <c r="F57" s="10"/>
    </row>
    <row r="58" spans="1:8" x14ac:dyDescent="0.3">
      <c r="A58" s="1" t="s">
        <v>106</v>
      </c>
      <c r="D58" s="28"/>
      <c r="E58" s="26"/>
      <c r="F58" s="10"/>
    </row>
    <row r="59" spans="1:8" x14ac:dyDescent="0.3">
      <c r="A59" s="12" t="s">
        <v>107</v>
      </c>
      <c r="B59" s="29">
        <f>+('[2]key results (script)'!$B$22+'[2]key results (script)'!$B$23)/1000000</f>
        <v>10771.293326000001</v>
      </c>
      <c r="C59" s="29">
        <f>+('[3]Script (key results)'!$B$22+'[3]Script (key results)'!$B$23)/1000000</f>
        <v>10636.256352</v>
      </c>
      <c r="D59" s="65">
        <f>C59-B59</f>
        <v>-135.03697400000055</v>
      </c>
      <c r="E59" s="26">
        <f t="shared" ref="E59" si="3">(C59-B59)/B59</f>
        <v>-1.2536746508800864E-2</v>
      </c>
      <c r="F59" s="10"/>
    </row>
    <row r="60" spans="1:8" x14ac:dyDescent="0.3">
      <c r="A60" s="12"/>
      <c r="B60" s="29"/>
      <c r="C60" s="29"/>
      <c r="D60" s="29"/>
      <c r="E60" s="26"/>
      <c r="F60" s="10"/>
    </row>
    <row r="61" spans="1:8" x14ac:dyDescent="0.3">
      <c r="A61" s="1" t="s">
        <v>116</v>
      </c>
      <c r="F61" s="10"/>
    </row>
    <row r="62" spans="1:8" ht="14.5" x14ac:dyDescent="0.3">
      <c r="A62" s="12" t="s">
        <v>118</v>
      </c>
      <c r="B62" s="29">
        <f>+'[2]key results (script)'!$B$73+'[2]key results (script)'!$B$74+'[2]key results (script)'!$B$75</f>
        <v>84903</v>
      </c>
      <c r="C62" s="29">
        <f>+'[3]Script (key results)'!$B$73+'[3]Script (key results)'!$B$74+'[3]Script (key results)'!$B$75</f>
        <v>84903</v>
      </c>
      <c r="D62" s="28">
        <f t="shared" ref="D62:D63" si="4">C62-B62</f>
        <v>0</v>
      </c>
      <c r="E62" s="26">
        <f t="shared" ref="E62:E63" si="5">(C62-B62)/B62</f>
        <v>0</v>
      </c>
      <c r="F62" s="10"/>
    </row>
    <row r="63" spans="1:8" ht="13.5" thickBot="1" x14ac:dyDescent="0.35">
      <c r="A63" s="12" t="s">
        <v>117</v>
      </c>
      <c r="B63" s="29">
        <f>+'[2]key results (script)'!$B$34+'[2]key results (script)'!$B$35</f>
        <v>106852</v>
      </c>
      <c r="C63" s="29">
        <f>+'[3]Script (key results)'!$B$34+'[3]Script (key results)'!$B$35</f>
        <v>106871</v>
      </c>
      <c r="D63" s="29">
        <f t="shared" si="4"/>
        <v>19</v>
      </c>
      <c r="E63" s="26">
        <f t="shared" si="5"/>
        <v>1.7781604462246847E-4</v>
      </c>
      <c r="F63" s="10"/>
    </row>
    <row r="64" spans="1:8" x14ac:dyDescent="0.3">
      <c r="A64" s="78" t="s">
        <v>86</v>
      </c>
      <c r="B64" s="78"/>
      <c r="C64" s="78"/>
      <c r="D64" s="78"/>
      <c r="E64" s="78"/>
    </row>
    <row r="65" spans="1:5" ht="80.25" customHeight="1" x14ac:dyDescent="0.3">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140</v>
      </c>
    </row>
    <row r="3" spans="1:5" x14ac:dyDescent="0.3">
      <c r="A3" s="71" t="s">
        <v>145</v>
      </c>
    </row>
    <row r="4" spans="1:5" s="30" customFormat="1" x14ac:dyDescent="0.3">
      <c r="A4" s="1" t="s">
        <v>114</v>
      </c>
      <c r="B4" s="60"/>
      <c r="C4" s="60"/>
      <c r="D4" s="60"/>
      <c r="E4" s="60"/>
    </row>
    <row r="5" spans="1:5" ht="41.25" customHeight="1" thickBot="1" x14ac:dyDescent="0.35">
      <c r="B5" s="9"/>
      <c r="C5" s="79" t="s">
        <v>133</v>
      </c>
      <c r="D5" s="79"/>
      <c r="E5" s="79"/>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142</v>
      </c>
      <c r="B9" s="63">
        <f>+'7. Program Summary'!B44+'7. Program Summary'!B59</f>
        <v>46669.543566</v>
      </c>
      <c r="C9" s="63">
        <f>+'7. Program Summary'!C44+'7. Program Summary'!C59</f>
        <v>46081.610591999997</v>
      </c>
      <c r="D9" s="63">
        <f t="shared" ref="D9:D10" si="0">+C9-B9</f>
        <v>-587.93297400000301</v>
      </c>
      <c r="E9" s="26">
        <f>(C9-B9)/B9</f>
        <v>-1.2597787102171871E-2</v>
      </c>
    </row>
    <row r="10" spans="1:5" ht="13.5" thickBot="1" x14ac:dyDescent="0.35">
      <c r="A10" s="8" t="s">
        <v>143</v>
      </c>
      <c r="B10" s="63">
        <f>(B8-B9)</f>
        <v>-27041.547598000005</v>
      </c>
      <c r="C10" s="63">
        <f>(C8-C9)</f>
        <v>-25316.684639999999</v>
      </c>
      <c r="D10" s="63">
        <f t="shared" si="0"/>
        <v>1724.8629580000052</v>
      </c>
      <c r="E10" s="70" t="s">
        <v>39</v>
      </c>
    </row>
    <row r="11" spans="1:5" ht="17.25" customHeight="1" x14ac:dyDescent="0.3">
      <c r="A11" s="76" t="s">
        <v>86</v>
      </c>
      <c r="B11" s="76"/>
      <c r="C11" s="76"/>
      <c r="D11" s="76"/>
      <c r="E11" s="76"/>
    </row>
    <row r="12" spans="1:5" ht="52.5" customHeight="1" x14ac:dyDescent="0.3">
      <c r="A12" s="77" t="s">
        <v>141</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Preliminary Results, Simulation 2 - August 10-2023</dc:title>
  <dc:creator>Urban Institute</dc:creator>
  <cp:lastModifiedBy>Albini, Daria (OTDA)</cp:lastModifiedBy>
  <dcterms:created xsi:type="dcterms:W3CDTF">2023-01-09T17:55:27Z</dcterms:created>
  <dcterms:modified xsi:type="dcterms:W3CDTF">2023-09-07T16:48:13Z</dcterms:modified>
</cp:coreProperties>
</file>