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X:\news\meetings\cprac\2023-11-20\attachments\"/>
    </mc:Choice>
  </mc:AlternateContent>
  <xr:revisionPtr revIDLastSave="0" documentId="8_{0CA397C3-9044-4543-9991-DA5430816DC7}" xr6:coauthVersionLast="47" xr6:coauthVersionMax="47" xr10:uidLastSave="{00000000-0000-0000-0000-000000000000}"/>
  <bookViews>
    <workbookView xWindow="3810" yWindow="3810" windowWidth="21600" windowHeight="11385" tabRatio="888" xr2:uid="{068841F0-A798-4FDA-AE91-01EB2B1CBF50}"/>
  </bookViews>
  <sheets>
    <sheet name="1. SPM Summary" sheetId="10" r:id="rId1"/>
    <sheet name="2. Poverty_Individuals_No" sheetId="1" r:id="rId2"/>
    <sheet name="3. Individuals Race" sheetId="12" r:id="rId3"/>
    <sheet name="4. Poverty_Families_No" sheetId="7" r:id="rId4"/>
    <sheet name="5. Household Resources" sheetId="2" r:id="rId5"/>
    <sheet name="6. Work Effort" sheetId="3" r:id="rId6"/>
    <sheet name="7. Program Summary" sheetId="11" r:id="rId7"/>
    <sheet name="8. Costs" sheetId="5" r:id="rId8"/>
  </sheets>
  <externalReferences>
    <externalReference r:id="rId9"/>
    <externalReference r:id="rId10"/>
    <externalReference r:id="rId11"/>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3" i="11" l="1"/>
  <c r="C62" i="11"/>
  <c r="C59" i="11"/>
  <c r="C53" i="11"/>
  <c r="C52" i="11"/>
  <c r="C50" i="11"/>
  <c r="C49" i="11"/>
  <c r="C47" i="11"/>
  <c r="C46" i="11"/>
  <c r="C44" i="11"/>
  <c r="C41" i="11"/>
  <c r="C40" i="11"/>
  <c r="C37" i="11"/>
  <c r="C36" i="11"/>
  <c r="C33" i="11"/>
  <c r="C32" i="11"/>
  <c r="C29" i="11"/>
  <c r="C28" i="11"/>
  <c r="C24" i="11"/>
  <c r="C21" i="11"/>
  <c r="C20" i="11"/>
  <c r="C17" i="11"/>
  <c r="C16" i="11"/>
  <c r="C13" i="11"/>
  <c r="C12" i="11"/>
  <c r="C9" i="11"/>
  <c r="C8" i="11"/>
  <c r="B27" i="2"/>
  <c r="B32" i="2" s="1"/>
  <c r="B26" i="2"/>
  <c r="B31" i="2" s="1"/>
  <c r="B25" i="2"/>
  <c r="B30" i="2" s="1"/>
  <c r="B16" i="2"/>
  <c r="B21" i="2" s="1"/>
  <c r="B15" i="2"/>
  <c r="B20" i="2" s="1"/>
  <c r="B14" i="2"/>
  <c r="B19" i="2" s="1"/>
  <c r="B13" i="2"/>
  <c r="B18" i="2" s="1"/>
  <c r="E46" i="7"/>
  <c r="E45" i="7"/>
  <c r="E44" i="7"/>
  <c r="E43" i="7"/>
  <c r="E41" i="7"/>
  <c r="E40" i="7"/>
  <c r="E39" i="7"/>
  <c r="E38" i="7"/>
  <c r="E35" i="7"/>
  <c r="E34" i="7"/>
  <c r="E33" i="7"/>
  <c r="E32" i="7"/>
  <c r="E30" i="7"/>
  <c r="E29" i="7"/>
  <c r="E28" i="7"/>
  <c r="E27" i="7"/>
  <c r="E24" i="7"/>
  <c r="E23" i="7"/>
  <c r="E22" i="7"/>
  <c r="E21" i="7"/>
  <c r="E18" i="7"/>
  <c r="E17" i="7"/>
  <c r="E16" i="7"/>
  <c r="E15" i="7"/>
  <c r="E12" i="7"/>
  <c r="E11" i="7"/>
  <c r="E10" i="7"/>
  <c r="E9" i="7"/>
  <c r="E60" i="12"/>
  <c r="E59" i="12"/>
  <c r="E58" i="12"/>
  <c r="E57" i="12"/>
  <c r="E55" i="12"/>
  <c r="E54" i="12"/>
  <c r="E53" i="12"/>
  <c r="E52" i="12"/>
  <c r="E50" i="12"/>
  <c r="E49" i="12"/>
  <c r="E48" i="12"/>
  <c r="E47" i="12"/>
  <c r="E45" i="12"/>
  <c r="E44" i="12"/>
  <c r="E43" i="12"/>
  <c r="E42" i="12"/>
  <c r="E40" i="12"/>
  <c r="E39" i="12"/>
  <c r="E38" i="12"/>
  <c r="E37" i="12"/>
  <c r="E33" i="12"/>
  <c r="E32" i="12"/>
  <c r="E31" i="12"/>
  <c r="E30" i="12"/>
  <c r="E28" i="12"/>
  <c r="E27" i="12"/>
  <c r="E26" i="12"/>
  <c r="E25" i="12"/>
  <c r="E23" i="12"/>
  <c r="E22" i="12"/>
  <c r="E21" i="12"/>
  <c r="E20" i="12"/>
  <c r="E18" i="12"/>
  <c r="E17" i="12"/>
  <c r="E16" i="12"/>
  <c r="E15" i="12"/>
  <c r="E13" i="12"/>
  <c r="E12" i="12"/>
  <c r="E11" i="12"/>
  <c r="E10" i="12"/>
  <c r="E45" i="1"/>
  <c r="E44" i="1"/>
  <c r="E43" i="1"/>
  <c r="E42" i="1"/>
  <c r="E40" i="1"/>
  <c r="E39" i="1"/>
  <c r="E38" i="1"/>
  <c r="E37" i="1"/>
  <c r="E34" i="1"/>
  <c r="E33" i="1"/>
  <c r="E32" i="1"/>
  <c r="E31" i="1"/>
  <c r="E28" i="1"/>
  <c r="E27" i="1"/>
  <c r="E26" i="1"/>
  <c r="E25" i="1"/>
  <c r="E23" i="1"/>
  <c r="E22" i="1"/>
  <c r="E21" i="1"/>
  <c r="E20" i="1"/>
  <c r="E18" i="1"/>
  <c r="E17" i="1"/>
  <c r="E16" i="1"/>
  <c r="E15" i="1"/>
  <c r="E12" i="1"/>
  <c r="E11" i="1"/>
  <c r="E10" i="1"/>
  <c r="E9" i="1"/>
  <c r="E21" i="10"/>
  <c r="E20" i="10"/>
  <c r="E18" i="10"/>
  <c r="E17" i="10"/>
  <c r="E16" i="10"/>
  <c r="E15" i="10"/>
  <c r="E14" i="10"/>
  <c r="E12" i="10"/>
  <c r="E11" i="10"/>
  <c r="E10" i="10"/>
  <c r="E9" i="10"/>
  <c r="E7" i="10"/>
  <c r="B50" i="11" l="1"/>
  <c r="B49" i="11"/>
  <c r="E49" i="11" s="1"/>
  <c r="D50" i="11" l="1"/>
  <c r="E50" i="11"/>
  <c r="D49" i="11"/>
  <c r="E56" i="11"/>
  <c r="E55" i="11"/>
  <c r="C8" i="5" l="1"/>
  <c r="B36" i="11"/>
  <c r="B7" i="3"/>
  <c r="B62" i="11"/>
  <c r="C9" i="5" l="1"/>
  <c r="E36" i="11"/>
  <c r="E62" i="11"/>
  <c r="D62" i="11"/>
  <c r="B63" i="11"/>
  <c r="E63" i="11" s="1"/>
  <c r="B24" i="2"/>
  <c r="B29" i="2" s="1"/>
  <c r="B10" i="2"/>
  <c r="B9" i="2"/>
  <c r="B8" i="2"/>
  <c r="B7" i="2" l="1"/>
  <c r="D63" i="11"/>
  <c r="B13" i="11"/>
  <c r="E13" i="11" s="1"/>
  <c r="B12" i="11"/>
  <c r="E12" i="11" s="1"/>
  <c r="B59" i="11" l="1"/>
  <c r="E59" i="11" s="1"/>
  <c r="B53" i="11"/>
  <c r="E53" i="11" s="1"/>
  <c r="B47" i="11"/>
  <c r="E47" i="11" s="1"/>
  <c r="B52" i="11"/>
  <c r="E52" i="11" s="1"/>
  <c r="B46" i="11"/>
  <c r="E46" i="11" s="1"/>
  <c r="B44" i="11" l="1"/>
  <c r="B9" i="5" s="1"/>
  <c r="B42" i="7"/>
  <c r="F46" i="7" s="1"/>
  <c r="B37" i="7"/>
  <c r="F41" i="7" s="1"/>
  <c r="B31" i="7"/>
  <c r="F33" i="7" s="1"/>
  <c r="B26" i="7"/>
  <c r="F30" i="7" s="1"/>
  <c r="B19" i="7"/>
  <c r="F22" i="7" s="1"/>
  <c r="B13" i="7"/>
  <c r="F18" i="7" s="1"/>
  <c r="B7" i="7"/>
  <c r="F9" i="7" s="1"/>
  <c r="B7" i="1"/>
  <c r="C46" i="7"/>
  <c r="C45" i="7"/>
  <c r="C44" i="7"/>
  <c r="C43" i="7"/>
  <c r="C41" i="7"/>
  <c r="C40" i="7"/>
  <c r="I40" i="7" s="1"/>
  <c r="C39" i="7"/>
  <c r="C38" i="7"/>
  <c r="C35" i="7"/>
  <c r="C34" i="7"/>
  <c r="C33" i="7"/>
  <c r="C32" i="7"/>
  <c r="C30" i="7"/>
  <c r="C29" i="7"/>
  <c r="I29" i="7" s="1"/>
  <c r="C28" i="7"/>
  <c r="C27" i="7"/>
  <c r="C24" i="7"/>
  <c r="C23" i="7"/>
  <c r="C22" i="7"/>
  <c r="C21" i="7"/>
  <c r="C18" i="7"/>
  <c r="C17" i="7"/>
  <c r="D17" i="7" s="1"/>
  <c r="C16" i="7"/>
  <c r="C15" i="7"/>
  <c r="D15" i="7" s="1"/>
  <c r="C12" i="7"/>
  <c r="C11" i="7"/>
  <c r="C10" i="7"/>
  <c r="C9" i="7"/>
  <c r="C10" i="12"/>
  <c r="I45" i="7"/>
  <c r="F44" i="7"/>
  <c r="F43" i="7"/>
  <c r="I39" i="7"/>
  <c r="F38" i="7"/>
  <c r="F35" i="7"/>
  <c r="F32" i="7"/>
  <c r="F24" i="7"/>
  <c r="F12" i="7"/>
  <c r="F11" i="7"/>
  <c r="D35" i="7"/>
  <c r="D33" i="7"/>
  <c r="D22" i="7"/>
  <c r="D29" i="7" l="1"/>
  <c r="F27" i="7"/>
  <c r="F15" i="7"/>
  <c r="F21" i="7"/>
  <c r="D27" i="7"/>
  <c r="D18" i="7"/>
  <c r="D21" i="7"/>
  <c r="D23" i="7"/>
  <c r="D32" i="7"/>
  <c r="H32" i="7" s="1"/>
  <c r="D34" i="7"/>
  <c r="I17" i="7"/>
  <c r="I34" i="7"/>
  <c r="H15" i="7"/>
  <c r="I23" i="7"/>
  <c r="F16" i="7"/>
  <c r="F28" i="7"/>
  <c r="D16" i="7"/>
  <c r="D28" i="7"/>
  <c r="D30" i="7"/>
  <c r="E44" i="11"/>
  <c r="H30" i="7"/>
  <c r="D11" i="7"/>
  <c r="H11" i="7" s="1"/>
  <c r="E9" i="5"/>
  <c r="D59" i="11"/>
  <c r="D44" i="11"/>
  <c r="D40" i="7"/>
  <c r="F34" i="7"/>
  <c r="I9" i="7"/>
  <c r="I27" i="7"/>
  <c r="I43" i="7"/>
  <c r="I10" i="7"/>
  <c r="H18" i="7"/>
  <c r="H22" i="7"/>
  <c r="H33" i="7"/>
  <c r="H35" i="7"/>
  <c r="D24" i="7"/>
  <c r="H24" i="7" s="1"/>
  <c r="D46" i="7"/>
  <c r="H46" i="7" s="1"/>
  <c r="F45" i="7"/>
  <c r="I11" i="7"/>
  <c r="I41" i="7"/>
  <c r="F39" i="7"/>
  <c r="I15" i="7"/>
  <c r="I30" i="7"/>
  <c r="I44" i="7"/>
  <c r="I16" i="7"/>
  <c r="I32" i="7"/>
  <c r="I18" i="7"/>
  <c r="I33" i="7"/>
  <c r="I28" i="7"/>
  <c r="I21" i="7"/>
  <c r="I22" i="7"/>
  <c r="I38" i="7"/>
  <c r="F23" i="7"/>
  <c r="H23" i="7" s="1"/>
  <c r="F17" i="7"/>
  <c r="H17" i="7" s="1"/>
  <c r="F29" i="7"/>
  <c r="H29" i="7" s="1"/>
  <c r="F40" i="7"/>
  <c r="H40" i="7" s="1"/>
  <c r="I12" i="7"/>
  <c r="I24" i="7"/>
  <c r="I35" i="7"/>
  <c r="I46" i="7"/>
  <c r="F10" i="7"/>
  <c r="D38" i="7"/>
  <c r="H38" i="7" s="1"/>
  <c r="D41" i="7"/>
  <c r="H41" i="7" s="1"/>
  <c r="D39" i="7"/>
  <c r="D43" i="7"/>
  <c r="H43" i="7" s="1"/>
  <c r="D44" i="7"/>
  <c r="H44" i="7" s="1"/>
  <c r="D45" i="7"/>
  <c r="D9" i="7"/>
  <c r="H9" i="7" s="1"/>
  <c r="D10" i="7"/>
  <c r="D12" i="7"/>
  <c r="H12" i="7" s="1"/>
  <c r="H21" i="7" l="1"/>
  <c r="H27" i="7"/>
  <c r="H34" i="7"/>
  <c r="H16" i="7"/>
  <c r="H28" i="7"/>
  <c r="D9" i="5"/>
  <c r="H45" i="7"/>
  <c r="H10" i="7"/>
  <c r="H39" i="7"/>
  <c r="C45" i="1" l="1"/>
  <c r="C44" i="1"/>
  <c r="C43" i="1"/>
  <c r="C42" i="1"/>
  <c r="B41" i="1"/>
  <c r="C21" i="10"/>
  <c r="C20" i="10"/>
  <c r="B21" i="10"/>
  <c r="D42" i="1" l="1"/>
  <c r="F21" i="10"/>
  <c r="I21" i="10"/>
  <c r="I42" i="1"/>
  <c r="D21" i="10"/>
  <c r="F43" i="1"/>
  <c r="F45" i="1"/>
  <c r="I43" i="1"/>
  <c r="I44" i="1"/>
  <c r="I45" i="1"/>
  <c r="F44" i="1"/>
  <c r="F42" i="1"/>
  <c r="D45" i="1"/>
  <c r="D44" i="1"/>
  <c r="D43" i="1"/>
  <c r="D46" i="11"/>
  <c r="G29" i="7"/>
  <c r="I20" i="10"/>
  <c r="G10" i="7"/>
  <c r="G16" i="7"/>
  <c r="G9" i="7"/>
  <c r="C30" i="12"/>
  <c r="C31" i="12"/>
  <c r="C32" i="12"/>
  <c r="C33" i="12"/>
  <c r="C37" i="12"/>
  <c r="C38" i="12"/>
  <c r="C39" i="12"/>
  <c r="C40" i="12"/>
  <c r="G40" i="12" s="1"/>
  <c r="C42" i="12"/>
  <c r="G42" i="12" s="1"/>
  <c r="C43" i="12"/>
  <c r="C44" i="12"/>
  <c r="C45" i="12"/>
  <c r="C47" i="12"/>
  <c r="G47" i="12" s="1"/>
  <c r="C48" i="12"/>
  <c r="C49" i="12"/>
  <c r="C50" i="12"/>
  <c r="C52" i="12"/>
  <c r="G52" i="12" s="1"/>
  <c r="C53" i="12"/>
  <c r="C54" i="12"/>
  <c r="C55" i="12"/>
  <c r="G55" i="12" s="1"/>
  <c r="C57" i="12"/>
  <c r="C58" i="12"/>
  <c r="C59" i="12"/>
  <c r="C60" i="12"/>
  <c r="C11" i="12"/>
  <c r="C12" i="12"/>
  <c r="C13" i="12"/>
  <c r="C15" i="12"/>
  <c r="C16" i="12"/>
  <c r="C17" i="12"/>
  <c r="G17" i="12" s="1"/>
  <c r="C18" i="12"/>
  <c r="C20" i="12"/>
  <c r="G20" i="12" s="1"/>
  <c r="C21" i="12"/>
  <c r="C22" i="12"/>
  <c r="G22" i="12" s="1"/>
  <c r="C23" i="12"/>
  <c r="C25" i="12"/>
  <c r="C26" i="12"/>
  <c r="C27" i="12"/>
  <c r="C28" i="12"/>
  <c r="C15" i="1"/>
  <c r="C16" i="1"/>
  <c r="C17" i="1"/>
  <c r="C18" i="1"/>
  <c r="C20" i="1"/>
  <c r="C21" i="1"/>
  <c r="C22" i="1"/>
  <c r="C23" i="1"/>
  <c r="G23" i="1" s="1"/>
  <c r="C25" i="1"/>
  <c r="C26" i="1"/>
  <c r="C27" i="1"/>
  <c r="C28" i="1"/>
  <c r="C31" i="1"/>
  <c r="C32" i="1"/>
  <c r="C33" i="1"/>
  <c r="C34" i="1"/>
  <c r="C37" i="1"/>
  <c r="C38" i="1"/>
  <c r="C39" i="1"/>
  <c r="C40" i="1"/>
  <c r="C10" i="1"/>
  <c r="G10" i="1" s="1"/>
  <c r="C11" i="1"/>
  <c r="C12" i="1"/>
  <c r="C9" i="1"/>
  <c r="C7" i="10"/>
  <c r="C9" i="10"/>
  <c r="C10" i="10"/>
  <c r="C11" i="10"/>
  <c r="G11" i="10" s="1"/>
  <c r="C12" i="10"/>
  <c r="G12" i="10" s="1"/>
  <c r="C14" i="10"/>
  <c r="C15" i="10"/>
  <c r="C16" i="10"/>
  <c r="C17" i="10"/>
  <c r="C18" i="10"/>
  <c r="G18" i="10" s="1"/>
  <c r="B41" i="11"/>
  <c r="E41" i="11" s="1"/>
  <c r="B40" i="11"/>
  <c r="E40" i="11" s="1"/>
  <c r="B37" i="11"/>
  <c r="E37" i="11" s="1"/>
  <c r="B33" i="11"/>
  <c r="E33" i="11" s="1"/>
  <c r="B32" i="11"/>
  <c r="E32" i="11" s="1"/>
  <c r="B29" i="11"/>
  <c r="E29" i="11" s="1"/>
  <c r="B28" i="11"/>
  <c r="E28" i="11" s="1"/>
  <c r="E25" i="11"/>
  <c r="B24" i="11"/>
  <c r="E24" i="11" s="1"/>
  <c r="B21" i="11"/>
  <c r="E21" i="11" s="1"/>
  <c r="B20" i="11"/>
  <c r="E20" i="11" s="1"/>
  <c r="B17" i="11"/>
  <c r="E17" i="11" s="1"/>
  <c r="B16" i="11"/>
  <c r="E16" i="11" s="1"/>
  <c r="B9" i="11"/>
  <c r="E9" i="11" s="1"/>
  <c r="B8" i="11"/>
  <c r="E8" i="11" s="1"/>
  <c r="D56" i="11"/>
  <c r="D55" i="11"/>
  <c r="G11" i="7"/>
  <c r="G15" i="7"/>
  <c r="G18" i="7"/>
  <c r="G22" i="7"/>
  <c r="G27" i="7"/>
  <c r="G30" i="7"/>
  <c r="G32" i="7"/>
  <c r="G34" i="7"/>
  <c r="G35" i="7"/>
  <c r="G38" i="7"/>
  <c r="G39" i="7"/>
  <c r="G43" i="7"/>
  <c r="G44" i="7"/>
  <c r="G45" i="7"/>
  <c r="G46" i="7"/>
  <c r="G53" i="12"/>
  <c r="G49" i="12"/>
  <c r="B56" i="12"/>
  <c r="B51" i="12"/>
  <c r="B46" i="12"/>
  <c r="B41" i="12"/>
  <c r="B36" i="12"/>
  <c r="B35" i="12"/>
  <c r="B29" i="12"/>
  <c r="B24" i="12"/>
  <c r="B19" i="12"/>
  <c r="B14" i="12"/>
  <c r="B9" i="12"/>
  <c r="B7" i="12"/>
  <c r="B36" i="1"/>
  <c r="B30" i="1"/>
  <c r="B24" i="1"/>
  <c r="B19" i="1"/>
  <c r="B14" i="1"/>
  <c r="B7" i="10"/>
  <c r="F7" i="10" s="1"/>
  <c r="B20" i="10"/>
  <c r="B18" i="10"/>
  <c r="F18" i="10" s="1"/>
  <c r="B17" i="10"/>
  <c r="B16" i="10"/>
  <c r="B15" i="10"/>
  <c r="B14" i="10"/>
  <c r="F14" i="10" s="1"/>
  <c r="B12" i="10"/>
  <c r="B11" i="10"/>
  <c r="B10" i="10"/>
  <c r="B9" i="10"/>
  <c r="F9" i="10" s="1"/>
  <c r="G31" i="12"/>
  <c r="G42" i="1"/>
  <c r="G43" i="1"/>
  <c r="G44" i="1"/>
  <c r="G45" i="1"/>
  <c r="G39" i="12"/>
  <c r="G21" i="10"/>
  <c r="G20" i="10"/>
  <c r="G32" i="1" l="1"/>
  <c r="G28" i="1"/>
  <c r="G28" i="12"/>
  <c r="G21" i="12"/>
  <c r="G18" i="12"/>
  <c r="G16" i="12"/>
  <c r="G13" i="12"/>
  <c r="G11" i="12"/>
  <c r="G17" i="1"/>
  <c r="G37" i="1"/>
  <c r="G39" i="1"/>
  <c r="B8" i="5"/>
  <c r="G21" i="1"/>
  <c r="G15" i="1"/>
  <c r="G20" i="1"/>
  <c r="G25" i="1"/>
  <c r="G27" i="1"/>
  <c r="I12" i="12"/>
  <c r="I15" i="12"/>
  <c r="I17" i="12"/>
  <c r="H42" i="1"/>
  <c r="G11" i="1"/>
  <c r="D29" i="11"/>
  <c r="D12" i="11"/>
  <c r="D28" i="11"/>
  <c r="D21" i="11"/>
  <c r="D33" i="11"/>
  <c r="D53" i="11"/>
  <c r="D24" i="11"/>
  <c r="D17" i="11"/>
  <c r="G9" i="1"/>
  <c r="H43" i="1"/>
  <c r="F12" i="10"/>
  <c r="G16" i="10"/>
  <c r="G10" i="10"/>
  <c r="G15" i="10"/>
  <c r="G16" i="1"/>
  <c r="G18" i="1"/>
  <c r="G34" i="1"/>
  <c r="I11" i="12"/>
  <c r="I13" i="12"/>
  <c r="I16" i="12"/>
  <c r="I18" i="12"/>
  <c r="I21" i="12"/>
  <c r="I23" i="12"/>
  <c r="I26" i="12"/>
  <c r="I28" i="12"/>
  <c r="I31" i="12"/>
  <c r="I33" i="12"/>
  <c r="I38" i="12"/>
  <c r="I40" i="12"/>
  <c r="I43" i="12"/>
  <c r="I45" i="12"/>
  <c r="I48" i="12"/>
  <c r="I50" i="12"/>
  <c r="I53" i="12"/>
  <c r="I55" i="12"/>
  <c r="I58" i="12"/>
  <c r="I60" i="12"/>
  <c r="I20" i="12"/>
  <c r="I22" i="12"/>
  <c r="I25" i="12"/>
  <c r="I27" i="12"/>
  <c r="I30" i="12"/>
  <c r="I32" i="12"/>
  <c r="I37" i="12"/>
  <c r="I39" i="12"/>
  <c r="I42" i="12"/>
  <c r="I44" i="12"/>
  <c r="I47" i="12"/>
  <c r="I49" i="12"/>
  <c r="I52" i="12"/>
  <c r="I54" i="12"/>
  <c r="I57" i="12"/>
  <c r="I59" i="12"/>
  <c r="D13" i="11"/>
  <c r="D37" i="11"/>
  <c r="G23" i="12"/>
  <c r="F15" i="10"/>
  <c r="G60" i="12"/>
  <c r="F16" i="10"/>
  <c r="D20" i="11"/>
  <c r="G14" i="10"/>
  <c r="G12" i="1"/>
  <c r="G33" i="1"/>
  <c r="D36" i="11"/>
  <c r="G45" i="12"/>
  <c r="G32" i="12"/>
  <c r="G57" i="12"/>
  <c r="G54" i="12"/>
  <c r="F10" i="10"/>
  <c r="F20" i="10"/>
  <c r="G33" i="12"/>
  <c r="G44" i="12"/>
  <c r="F11" i="10"/>
  <c r="G12" i="12"/>
  <c r="D16" i="11"/>
  <c r="D52" i="11"/>
  <c r="G10" i="12"/>
  <c r="I10" i="12"/>
  <c r="D8" i="11"/>
  <c r="G58" i="12"/>
  <c r="G26" i="1"/>
  <c r="G48" i="12"/>
  <c r="F17" i="10"/>
  <c r="F28" i="12"/>
  <c r="D28" i="12"/>
  <c r="F27" i="12"/>
  <c r="D27" i="12"/>
  <c r="F26" i="12"/>
  <c r="D26" i="12"/>
  <c r="F25" i="12"/>
  <c r="D25" i="12"/>
  <c r="F40" i="12"/>
  <c r="D40" i="12"/>
  <c r="F39" i="12"/>
  <c r="D39" i="12"/>
  <c r="F38" i="12"/>
  <c r="D38" i="12"/>
  <c r="F37" i="12"/>
  <c r="D37" i="12"/>
  <c r="F43" i="12"/>
  <c r="D43" i="12"/>
  <c r="F42" i="12"/>
  <c r="D42" i="12"/>
  <c r="F45" i="12"/>
  <c r="D45" i="12"/>
  <c r="F44" i="12"/>
  <c r="D44" i="12"/>
  <c r="F11" i="12"/>
  <c r="D11" i="12"/>
  <c r="F13" i="12"/>
  <c r="F10" i="12"/>
  <c r="D13" i="12"/>
  <c r="F12" i="12"/>
  <c r="D12" i="12"/>
  <c r="F50" i="12"/>
  <c r="D50" i="12"/>
  <c r="F49" i="12"/>
  <c r="D49" i="12"/>
  <c r="F48" i="12"/>
  <c r="D48" i="12"/>
  <c r="F47" i="12"/>
  <c r="D47" i="12"/>
  <c r="F31" i="12"/>
  <c r="D31" i="12"/>
  <c r="F30" i="12"/>
  <c r="D30" i="12"/>
  <c r="D33" i="12"/>
  <c r="F33" i="12"/>
  <c r="F32" i="12"/>
  <c r="D32" i="12"/>
  <c r="D18" i="12"/>
  <c r="F18" i="12"/>
  <c r="F17" i="12"/>
  <c r="D17" i="12"/>
  <c r="F16" i="12"/>
  <c r="D16" i="12"/>
  <c r="F15" i="12"/>
  <c r="D15" i="12"/>
  <c r="F53" i="12"/>
  <c r="D53" i="12"/>
  <c r="F52" i="12"/>
  <c r="D52" i="12"/>
  <c r="D55" i="12"/>
  <c r="F55" i="12"/>
  <c r="F54" i="12"/>
  <c r="D54" i="12"/>
  <c r="F21" i="12"/>
  <c r="D21" i="12"/>
  <c r="F20" i="12"/>
  <c r="D20" i="12"/>
  <c r="D23" i="12"/>
  <c r="F22" i="12"/>
  <c r="D22" i="12"/>
  <c r="F23" i="12"/>
  <c r="F60" i="12"/>
  <c r="D60" i="12"/>
  <c r="F59" i="12"/>
  <c r="D59" i="12"/>
  <c r="F58" i="12"/>
  <c r="D58" i="12"/>
  <c r="F57" i="12"/>
  <c r="D57" i="12"/>
  <c r="H45" i="1"/>
  <c r="G40" i="7"/>
  <c r="G41" i="7"/>
  <c r="I38" i="1"/>
  <c r="D38" i="1"/>
  <c r="I37" i="1"/>
  <c r="D37" i="1"/>
  <c r="I15" i="1"/>
  <c r="D15" i="1"/>
  <c r="F12" i="1"/>
  <c r="F11" i="1"/>
  <c r="F10" i="1"/>
  <c r="F9" i="1"/>
  <c r="G28" i="7"/>
  <c r="G17" i="7"/>
  <c r="D40" i="11"/>
  <c r="I15" i="10"/>
  <c r="D15" i="10"/>
  <c r="D9" i="1"/>
  <c r="I9" i="1"/>
  <c r="I34" i="1"/>
  <c r="D34" i="1"/>
  <c r="I23" i="1"/>
  <c r="D23" i="1"/>
  <c r="I17" i="10"/>
  <c r="D17" i="10"/>
  <c r="I12" i="1"/>
  <c r="D12" i="1"/>
  <c r="G17" i="10"/>
  <c r="D12" i="10"/>
  <c r="H12" i="10" s="1"/>
  <c r="I12" i="10"/>
  <c r="I11" i="1"/>
  <c r="D11" i="1"/>
  <c r="I32" i="1"/>
  <c r="D32" i="1"/>
  <c r="I21" i="1"/>
  <c r="D21" i="1"/>
  <c r="G9" i="10"/>
  <c r="I22" i="1"/>
  <c r="D22" i="1"/>
  <c r="G50" i="12"/>
  <c r="G30" i="12"/>
  <c r="G27" i="12"/>
  <c r="F26" i="1"/>
  <c r="F25" i="1"/>
  <c r="F27" i="1"/>
  <c r="F28" i="1"/>
  <c r="G33" i="7"/>
  <c r="G24" i="7"/>
  <c r="G12" i="7"/>
  <c r="D32" i="11"/>
  <c r="D47" i="11"/>
  <c r="D11" i="10"/>
  <c r="I11" i="10"/>
  <c r="I10" i="1"/>
  <c r="D10" i="1"/>
  <c r="D31" i="1"/>
  <c r="I31" i="1"/>
  <c r="D20" i="1"/>
  <c r="I20" i="1"/>
  <c r="I16" i="1"/>
  <c r="D16" i="1"/>
  <c r="D14" i="10"/>
  <c r="H14" i="10" s="1"/>
  <c r="I14" i="10"/>
  <c r="G38" i="1"/>
  <c r="G25" i="12"/>
  <c r="G37" i="12"/>
  <c r="F34" i="1"/>
  <c r="F33" i="1"/>
  <c r="F32" i="1"/>
  <c r="F31" i="1"/>
  <c r="I10" i="10"/>
  <c r="D10" i="10"/>
  <c r="D40" i="1"/>
  <c r="I40" i="1"/>
  <c r="D28" i="1"/>
  <c r="I28" i="1"/>
  <c r="I18" i="1"/>
  <c r="D18" i="1"/>
  <c r="D10" i="12"/>
  <c r="I7" i="10"/>
  <c r="G7" i="10"/>
  <c r="D7" i="10"/>
  <c r="H7" i="10" s="1"/>
  <c r="F17" i="1"/>
  <c r="F16" i="1"/>
  <c r="F15" i="1"/>
  <c r="F18" i="1"/>
  <c r="I33" i="1"/>
  <c r="D33" i="1"/>
  <c r="F23" i="1"/>
  <c r="F22" i="1"/>
  <c r="F21" i="1"/>
  <c r="F20" i="1"/>
  <c r="H20" i="1" s="1"/>
  <c r="G15" i="12"/>
  <c r="G38" i="12"/>
  <c r="F38" i="1"/>
  <c r="F37" i="1"/>
  <c r="F39" i="1"/>
  <c r="F40" i="1"/>
  <c r="G21" i="7"/>
  <c r="I18" i="10"/>
  <c r="D18" i="10"/>
  <c r="H18" i="10" s="1"/>
  <c r="I9" i="10"/>
  <c r="D9" i="10"/>
  <c r="H9" i="10" s="1"/>
  <c r="D39" i="1"/>
  <c r="I39" i="1"/>
  <c r="I27" i="1"/>
  <c r="D27" i="1"/>
  <c r="D17" i="1"/>
  <c r="I17" i="1"/>
  <c r="H44" i="1"/>
  <c r="D20" i="10"/>
  <c r="H20" i="10" s="1"/>
  <c r="G22" i="1"/>
  <c r="I26" i="1"/>
  <c r="D26" i="1"/>
  <c r="I16" i="10"/>
  <c r="D16" i="10"/>
  <c r="I25" i="1"/>
  <c r="D25" i="1"/>
  <c r="H21" i="10"/>
  <c r="G31" i="1"/>
  <c r="D9" i="11"/>
  <c r="G40" i="1"/>
  <c r="D25" i="11"/>
  <c r="G26" i="12"/>
  <c r="G23" i="7"/>
  <c r="G43" i="12"/>
  <c r="G59" i="12"/>
  <c r="D41" i="11"/>
  <c r="H16" i="10" l="1"/>
  <c r="H15" i="10"/>
  <c r="C10" i="5"/>
  <c r="E8" i="5"/>
  <c r="B10" i="5"/>
  <c r="D8" i="5"/>
  <c r="H57" i="12"/>
  <c r="H58" i="12"/>
  <c r="H60" i="12"/>
  <c r="H21" i="12"/>
  <c r="H54" i="12"/>
  <c r="H52" i="12"/>
  <c r="H53" i="12"/>
  <c r="H15" i="12"/>
  <c r="H17" i="12"/>
  <c r="H32" i="12"/>
  <c r="H30" i="12"/>
  <c r="H31" i="12"/>
  <c r="H39" i="1"/>
  <c r="H21" i="1"/>
  <c r="H33" i="1"/>
  <c r="H23" i="1"/>
  <c r="H15" i="1"/>
  <c r="H55" i="12"/>
  <c r="H33" i="12"/>
  <c r="H13" i="12"/>
  <c r="H11" i="12"/>
  <c r="H44" i="12"/>
  <c r="H42" i="12"/>
  <c r="H43" i="12"/>
  <c r="H37" i="12"/>
  <c r="H40" i="12"/>
  <c r="H25" i="12"/>
  <c r="H28" i="12"/>
  <c r="H11" i="10"/>
  <c r="H10" i="10"/>
  <c r="H17" i="10"/>
  <c r="H16" i="1"/>
  <c r="H12" i="12"/>
  <c r="H32" i="1"/>
  <c r="H22" i="12"/>
  <c r="H50" i="12"/>
  <c r="H9" i="1"/>
  <c r="H59" i="12"/>
  <c r="H20" i="12"/>
  <c r="H16" i="12"/>
  <c r="H45" i="12"/>
  <c r="H38" i="12"/>
  <c r="H26" i="12"/>
  <c r="H22" i="1"/>
  <c r="H48" i="12"/>
  <c r="H10" i="12"/>
  <c r="H39" i="12"/>
  <c r="H27" i="12"/>
  <c r="H28" i="1"/>
  <c r="H23" i="12"/>
  <c r="H18" i="12"/>
  <c r="H49" i="12"/>
  <c r="H47" i="12"/>
  <c r="H17" i="1"/>
  <c r="H10" i="1"/>
  <c r="H37" i="1"/>
  <c r="H31" i="1"/>
  <c r="H27" i="1"/>
  <c r="H11" i="1"/>
  <c r="H38" i="1"/>
  <c r="H25" i="1"/>
  <c r="H12" i="1"/>
  <c r="H40" i="1"/>
  <c r="H26" i="1"/>
  <c r="H18" i="1"/>
  <c r="H34" i="1"/>
  <c r="D10" i="5" l="1"/>
  <c r="E10" i="5"/>
</calcChain>
</file>

<file path=xl/sharedStrings.xml><?xml version="1.0" encoding="utf-8"?>
<sst xmlns="http://schemas.openxmlformats.org/spreadsheetml/2006/main" count="348" uniqueCount="148">
  <si>
    <t>Baseline</t>
  </si>
  <si>
    <t>&lt;50%</t>
  </si>
  <si>
    <t>&lt;100%</t>
  </si>
  <si>
    <t>&lt;150%</t>
  </si>
  <si>
    <t>&lt;200%</t>
  </si>
  <si>
    <t>Children (&lt;age 18)</t>
  </si>
  <si>
    <t>Adults (age 18 and older) with no children in household</t>
  </si>
  <si>
    <t>Families with married heads</t>
  </si>
  <si>
    <t>All households</t>
  </si>
  <si>
    <t>Households with children (&lt;age 18)</t>
  </si>
  <si>
    <t>Households with young children (&lt;age 5)</t>
  </si>
  <si>
    <t>Households with no children</t>
  </si>
  <si>
    <t>Net change in employment</t>
  </si>
  <si>
    <t>All people</t>
  </si>
  <si>
    <t>All people in households with children (&lt;age 18)</t>
  </si>
  <si>
    <t>People in single-parent households with children (&lt;age 18)</t>
  </si>
  <si>
    <t>People in households with no children</t>
  </si>
  <si>
    <t>Net change in hours worked</t>
  </si>
  <si>
    <t>Adults (age 18 and older)</t>
  </si>
  <si>
    <t>By age</t>
  </si>
  <si>
    <t>By poverty level</t>
  </si>
  <si>
    <t>By age and poverty level</t>
  </si>
  <si>
    <t>Black, non-Hispanic</t>
  </si>
  <si>
    <t>AAPI, non-Hispanic</t>
  </si>
  <si>
    <t>Hispanic</t>
  </si>
  <si>
    <t>White, non-Hispanic</t>
  </si>
  <si>
    <t>By family composition and poverty level</t>
  </si>
  <si>
    <t>By location</t>
  </si>
  <si>
    <t>All but New York City</t>
  </si>
  <si>
    <t>New York City</t>
  </si>
  <si>
    <t>Table 2</t>
  </si>
  <si>
    <t>Positive Resource Changes</t>
  </si>
  <si>
    <t>Number of households with positive resource changes</t>
  </si>
  <si>
    <t>Average net change in resources for households with positive resource changes</t>
  </si>
  <si>
    <t>Average net change in resources for households with negative resource changes</t>
  </si>
  <si>
    <t>Negative Resource Changes</t>
  </si>
  <si>
    <t>Number of households with negative resource changes</t>
  </si>
  <si>
    <t>Amount ($)</t>
  </si>
  <si>
    <t>Baseline ($)</t>
  </si>
  <si>
    <t>--</t>
  </si>
  <si>
    <t>Unemployment Insurance Benefits</t>
  </si>
  <si>
    <t>Number of people receiving benefits (thousands)</t>
  </si>
  <si>
    <t>Aggregate annual benefits (millions)</t>
  </si>
  <si>
    <t>Cash Aid to Families -- Temporary Assistance for Needy Families (TANF) and Safety Net Assistance (SNA)</t>
  </si>
  <si>
    <t>Average monthly families with benefits (thousands)</t>
  </si>
  <si>
    <t>Aggregate annual benefits for TANF funded families (millions)</t>
  </si>
  <si>
    <t>Cash Aid to Childless Adults and Couples (SNA)</t>
  </si>
  <si>
    <t>Average monthly number of units receiving benefits (thousands)</t>
  </si>
  <si>
    <t>Child Care Subsidies</t>
  </si>
  <si>
    <t>Average monthly number of children receiving benefits (thousands)</t>
  </si>
  <si>
    <t>Public and Subsidized Housing through Federal Programs</t>
  </si>
  <si>
    <t>Number of households receiving subsidy (thousands)</t>
  </si>
  <si>
    <t>Supplemental Nutrition Assistance Program (SNAP)</t>
  </si>
  <si>
    <t>Home Energy Assistance Program (HEAP)</t>
  </si>
  <si>
    <t>Households receiving benefits (thousands)</t>
  </si>
  <si>
    <t>Children (&lt; age 18)</t>
  </si>
  <si>
    <t>Ages 0 through 4</t>
  </si>
  <si>
    <t>Ages 5 through 17</t>
  </si>
  <si>
    <t>Adults (ages 18 and older)</t>
  </si>
  <si>
    <r>
      <t>By race and ethnicity</t>
    </r>
    <r>
      <rPr>
        <vertAlign val="superscript"/>
        <sz val="10"/>
        <color theme="1"/>
        <rFont val="Calibri"/>
        <family val="2"/>
        <scheme val="minor"/>
      </rPr>
      <t>2</t>
    </r>
  </si>
  <si>
    <t>Multiple and other races, non-Hispanic</t>
  </si>
  <si>
    <t>Balance of state</t>
  </si>
  <si>
    <t>Notes: (1) The population counts do not include those who live in group quarters and institutions. (2) AAPI = Asian American and Pacific Islander. We use the term “Hispanic," as this is the primary terminology used by the US Census Bureau in the American Community Survey, which is the source of household data for this analysis. Survey respondents are asked to report race and ethnicity, including whether or not they identify as being of “Hispanic, Latino, or Spanish origin.”</t>
  </si>
  <si>
    <t xml:space="preserve"> </t>
  </si>
  <si>
    <t>Young children (ages 0 through 4)</t>
  </si>
  <si>
    <r>
      <t>Total individuals</t>
    </r>
    <r>
      <rPr>
        <vertAlign val="superscript"/>
        <sz val="10"/>
        <color theme="1"/>
        <rFont val="Calibri"/>
        <family val="2"/>
        <scheme val="minor"/>
      </rPr>
      <t>1</t>
    </r>
  </si>
  <si>
    <r>
      <t>By race and ethnicity and poverty level</t>
    </r>
    <r>
      <rPr>
        <vertAlign val="superscript"/>
        <sz val="10"/>
        <color theme="1"/>
        <rFont val="Calibri"/>
        <family val="2"/>
        <scheme val="minor"/>
      </rPr>
      <t>2</t>
    </r>
  </si>
  <si>
    <t>Total children (&lt; age 18)</t>
  </si>
  <si>
    <t>By location and poverty level</t>
  </si>
  <si>
    <t>Total Families with Children</t>
  </si>
  <si>
    <t>Number in poverty</t>
  </si>
  <si>
    <t>Baseline number in poverty</t>
  </si>
  <si>
    <t>Total group population</t>
  </si>
  <si>
    <t>Difference from baseline (number)</t>
  </si>
  <si>
    <t>Difference from baseline (percentage point)</t>
  </si>
  <si>
    <t>Baseline percent of population group in poverty</t>
  </si>
  <si>
    <t>Percent of population group in poverty</t>
  </si>
  <si>
    <t>Difference from baseline (percent)</t>
  </si>
  <si>
    <t>Table 1</t>
  </si>
  <si>
    <t>Table 3</t>
  </si>
  <si>
    <t>Table 4</t>
  </si>
  <si>
    <t>Number of Households</t>
  </si>
  <si>
    <t>Table 5</t>
  </si>
  <si>
    <t>Table 6</t>
  </si>
  <si>
    <t>Table 7</t>
  </si>
  <si>
    <t>Table 8</t>
  </si>
  <si>
    <t>Source: Urban Institute tabulations of data from the ATTIS model using CPRAC-SPM, using 2019 American Community Survey Data</t>
  </si>
  <si>
    <t>Earned income tax credit</t>
  </si>
  <si>
    <t>Child and dependent care tax credit</t>
  </si>
  <si>
    <t>Returns with credit (thousands)</t>
  </si>
  <si>
    <t>Total credit (millions)</t>
  </si>
  <si>
    <r>
      <t>Aggregate annual benefits (millions)</t>
    </r>
    <r>
      <rPr>
        <vertAlign val="superscript"/>
        <sz val="10"/>
        <color theme="1"/>
        <rFont val="Calibri"/>
        <family val="2"/>
        <scheme val="minor"/>
      </rPr>
      <t>3</t>
    </r>
  </si>
  <si>
    <t>Notes: (1) The population counts do not include those who live in group quarters and institutions. (2) The poverty-level groups each include all people at or below each poverty level; for example, the group labeled “&lt;150%” includes all people with family incomes below 150 percent of the poverty threshold, including all the people in the “&lt;100%” group.</t>
  </si>
  <si>
    <r>
      <t>By poverty level</t>
    </r>
    <r>
      <rPr>
        <vertAlign val="superscript"/>
        <sz val="10"/>
        <color theme="1"/>
        <rFont val="Calibri"/>
        <family val="2"/>
        <scheme val="minor"/>
      </rPr>
      <t>2</t>
    </r>
  </si>
  <si>
    <t>Notes: (1) The population counts do not include those who live in group quarters and institutions. (2) AAPI = Asian American and Pacific Islander. We use the term “Hispanic," as this is the primary terminology used by the US Census Bureau in the American Community Survey, which is the source of household data for this analysis. Survey respondents are asked to report race and ethnicity, including whether or not they identify as being of “Hispanic, Latino, or Spanish origin.” The poverty-level groups each include all people in the given racial and ethnic group at or below each poverty level; for example, the group labeled “&lt;150%” includes all people with family incomes below 150 percent of the poverty threshold, including all the people in the “&lt;100%” group.</t>
  </si>
  <si>
    <r>
      <t>By race and ethnicity and child poverty level (children &lt; age 18)</t>
    </r>
    <r>
      <rPr>
        <vertAlign val="superscript"/>
        <sz val="10"/>
        <color theme="1"/>
        <rFont val="Calibri"/>
        <family val="2"/>
        <scheme val="minor"/>
      </rPr>
      <t>2</t>
    </r>
  </si>
  <si>
    <r>
      <t>Total Families</t>
    </r>
    <r>
      <rPr>
        <vertAlign val="superscript"/>
        <sz val="10"/>
        <color theme="1"/>
        <rFont val="Calibri"/>
        <family val="2"/>
        <scheme val="minor"/>
      </rPr>
      <t>1</t>
    </r>
  </si>
  <si>
    <t>Rent burden relief credit</t>
  </si>
  <si>
    <t>Percent of population group in income band</t>
  </si>
  <si>
    <t>Baseline percent of population group in income band</t>
  </si>
  <si>
    <t>Baseline number in income band</t>
  </si>
  <si>
    <t>Number in income band</t>
  </si>
  <si>
    <t>Families with single heads</t>
  </si>
  <si>
    <t>Aggregate subsidy value (millions)</t>
  </si>
  <si>
    <t>State Income Taxes</t>
  </si>
  <si>
    <t>Total state income tax collections after credits (millions)</t>
  </si>
  <si>
    <t>City Income Taxes (NYC and Yonkers)</t>
  </si>
  <si>
    <t>Total city income tax collections after credits (millions)</t>
  </si>
  <si>
    <t>Average monthly people receiving benefits (thousands)</t>
  </si>
  <si>
    <t>Annual benefits (millions)</t>
  </si>
  <si>
    <r>
      <t>Supplemental Security Income (SSI)</t>
    </r>
    <r>
      <rPr>
        <vertAlign val="superscript"/>
        <sz val="10"/>
        <color theme="1"/>
        <rFont val="Calibri"/>
        <family val="2"/>
        <scheme val="minor"/>
      </rPr>
      <t>2</t>
    </r>
  </si>
  <si>
    <r>
      <t>Aggregate annual benefits (millions)</t>
    </r>
    <r>
      <rPr>
        <vertAlign val="superscript"/>
        <sz val="10"/>
        <color theme="1"/>
        <rFont val="Calibri"/>
        <family val="2"/>
        <scheme val="minor"/>
      </rPr>
      <t>5</t>
    </r>
  </si>
  <si>
    <t>numbers are in thousands</t>
  </si>
  <si>
    <t>Numbers are in thousands; dollars are nominal 2019 amounts (not inflated)</t>
  </si>
  <si>
    <t>Dollars are nominal 2019 amounts (not inflated)</t>
  </si>
  <si>
    <r>
      <t>Costs of benefit programs</t>
    </r>
    <r>
      <rPr>
        <vertAlign val="superscript"/>
        <sz val="10"/>
        <color theme="1"/>
        <rFont val="Calibri"/>
        <family val="2"/>
        <scheme val="minor"/>
      </rPr>
      <t>2</t>
    </r>
  </si>
  <si>
    <t>Federal Taxes (New York State households only)</t>
  </si>
  <si>
    <t>Total federal income tax after credits (millions)</t>
  </si>
  <si>
    <r>
      <t>Total OASDHI taxes (millions)</t>
    </r>
    <r>
      <rPr>
        <vertAlign val="superscript"/>
        <sz val="10"/>
        <color theme="1"/>
        <rFont val="Calibri"/>
        <family val="2"/>
        <scheme val="minor"/>
      </rPr>
      <t>6</t>
    </r>
  </si>
  <si>
    <r>
      <t>Government benefits and taxes in New York (federal and state, in millions)</t>
    </r>
    <r>
      <rPr>
        <vertAlign val="superscript"/>
        <sz val="10"/>
        <color theme="1"/>
        <rFont val="Calibri"/>
        <family val="2"/>
        <scheme val="minor"/>
      </rPr>
      <t>1</t>
    </r>
  </si>
  <si>
    <t>Difference from baseline ($)</t>
  </si>
  <si>
    <t>Notes:  (1) This table considers changes at the level of household--all individuals in the dwelling unit, regardless of relationships. Household resources are assessed using the SPM resource measure, summed across all SPM poverty units in the household.</t>
  </si>
  <si>
    <r>
      <t>Number of employed individuals</t>
    </r>
    <r>
      <rPr>
        <vertAlign val="superscript"/>
        <sz val="10"/>
        <color theme="1"/>
        <rFont val="Calibri"/>
        <family val="2"/>
        <scheme val="minor"/>
      </rPr>
      <t>1</t>
    </r>
  </si>
  <si>
    <t>Notes:  (1) Employed individuals include both wage and salary workers and self-employed workers, of any age.</t>
  </si>
  <si>
    <t>Numbers are in thousands</t>
  </si>
  <si>
    <t>Average monthly people with benefits (thousands)</t>
  </si>
  <si>
    <r>
      <t>Special Supplemental Nutrition Assistance Program for Women, Infants, and Children (WIC)</t>
    </r>
    <r>
      <rPr>
        <vertAlign val="superscript"/>
        <sz val="10"/>
        <color theme="1"/>
        <rFont val="Calibri"/>
        <family val="2"/>
        <scheme val="minor"/>
      </rPr>
      <t>4</t>
    </r>
  </si>
  <si>
    <t>Aggregate annual pre-rebate food benefits, all recipients (millions)</t>
  </si>
  <si>
    <t>Notes:  (1) Data shown are from the ATTIS simulations of New York's programs in 2019.  The caseloads and benefits were developed to come as close as possible to actual data within the limitations of the survey data. (2) SSI caseload and cost figures include both adult and child recipients. (3) The simulated value of housing benefits equals the fair market rent of the unit minus the household's required payment. (4) The simulated WIC data include infants, children, and postpartum mothers, but not pregnant women.  Benefits for infants are prior to the infant formula rebate. (5) HEAP benefits do not include weatherization or equipment payments. (6) OASDHI taxes include both the worker and employer shares of taxes on wages and salaries and self-employment tax.</t>
  </si>
  <si>
    <t>Families without Children</t>
  </si>
  <si>
    <r>
      <t>Baseline benefit and tax data</t>
    </r>
    <r>
      <rPr>
        <vertAlign val="superscript"/>
        <sz val="10"/>
        <color theme="1"/>
        <rFont val="Calibri"/>
        <family val="2"/>
        <scheme val="minor"/>
      </rPr>
      <t>1</t>
    </r>
  </si>
  <si>
    <t>Alternative-policy benefit and tax data</t>
  </si>
  <si>
    <t>Notes: (1) Administrative costs are not included. (2) Costs of benefit programs include unemployment compensation, SSI, TANF and SNA for families, SNA for childless adults and couples, child care subsidy value, housing subsidy value, SNAP, WIC, and HEAP.  The government costs of TANF/SNA benefits do not currently reflect the impact of retained child support. Benefits costs include costs paid by both federal and state government.</t>
  </si>
  <si>
    <t>State and city income tax (net of credits)</t>
  </si>
  <si>
    <t>Benefit costs minus state/city income tax collections</t>
  </si>
  <si>
    <t>Empire State Child Credit</t>
  </si>
  <si>
    <t>No employment changes</t>
  </si>
  <si>
    <t>Enacted Policies for Empire State Child Credit, Public Assistance, Child Care Subsidies, and Minimum Wage, Plus Temporary EITC and ESCC</t>
  </si>
  <si>
    <t>Enacted Policies for Empire State Child Credit, Public Assistance, Child Care Subsidies, Minimum Wage, Temporary EITC and ESCC</t>
  </si>
  <si>
    <t>People in SPM Poverty by Demographic Characteristics, Under Enacted Policies for Empire State Child Credit, Public Assistance, Child Care Subsidies, Minimum Wage, and Temporary EITC and ESCC Expansions, 2019</t>
  </si>
  <si>
    <t>Characteristics of Individuals in SPM Poverty in New York Under Enacted Policies for Empire State Child Credit, Public Assistance, Child Care Subsidies, Minimum Wage, and Temporary EITC and ESCC Expansions, 2019</t>
  </si>
  <si>
    <t>Characteristics of Individuals by Race in SPM Poverty in New York Under Enacted Policies for Empire State Child Credit, Public Assistance, Child Care Subsidies, Minimum Wage, and Temporary EITC and ESCC Expansions, 2019</t>
  </si>
  <si>
    <t xml:space="preserve">Characteristics of Families in SPM Poverty in New York Under Enacted Policies for Empire State Child Credit, Public Assistance, Child Care Subsidies, Minimum Wage, and Temporary EITC and ESCC Expansions, 2019  </t>
  </si>
  <si>
    <t>Changes in Household Resources Under Enacted Policies for Empire State Child Credit, Public Assistance, Child Care Subsidies, Minimum Wage, and Temporary EITC and ESCC Expansions, 20191</t>
  </si>
  <si>
    <t>Employment Changes by Characteristics Under Enacted Policies for Empire State Child Credit, Public Assistance, Child Care Subsidies, Minimum Wage, and Temporary EITC and ESCC Expansions, 2019</t>
  </si>
  <si>
    <t>Change in Benefit Programs Under Enacted Policies for Empire State Child Credit, Public Assistance, Child Care Subsidies, Minimum Wage, and Temporary EITC and ESCC Expansions, 2019</t>
  </si>
  <si>
    <t>Change in Government Costs Under Enacted Policies for Empire State Child Credit, Public Assistance, Child Care Subsidies, Minimum Wage, and Temporary EITC and ESCC Expansions, 2019</t>
  </si>
  <si>
    <t>Enacted Policies for Empire State Child Credit, Public Assistance, Child Care Subsidies, Minimum Wage, and Temporary EITC and ESCC Expansions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</si>
</sst>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0.0%"/>
    <numFmt numFmtId="165" formatCode="&quot;$&quot;#,##0"/>
    <numFmt numFmtId="166" formatCode="0.0"/>
    <numFmt numFmtId="167" formatCode="0.00000"/>
    <numFmt numFmtId="168" formatCode="&quot;$&quot;#,##0.0"/>
    <numFmt numFmtId="169" formatCode="#,##0.0"/>
  </numFmts>
  <fonts count="9" x14ac:knownFonts="1">
    <font>
      <sz val="11"/>
      <color theme="1"/>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sz val="11"/>
      <color theme="1"/>
      <name val="Calibri"/>
      <family val="2"/>
      <scheme val="minor"/>
    </font>
    <font>
      <sz val="10"/>
      <color rgb="FFFF0000"/>
      <name val="Calibri"/>
      <family val="2"/>
      <scheme val="minor"/>
    </font>
    <font>
      <sz val="10"/>
      <name val="Calibri"/>
      <family val="2"/>
      <scheme val="minor"/>
    </font>
    <font>
      <i/>
      <sz val="10"/>
      <color theme="1"/>
      <name val="Calibri"/>
      <family val="2"/>
      <scheme val="minor"/>
    </font>
    <font>
      <i/>
      <sz val="10"/>
      <color indexed="8"/>
      <name val="Calibri"/>
      <family val="2"/>
      <scheme val="minor"/>
    </font>
  </fonts>
  <fills count="2">
    <fill>
      <patternFill patternType="none"/>
    </fill>
    <fill>
      <patternFill patternType="gray125"/>
    </fill>
  </fills>
  <borders count="14">
    <border>
      <left/>
      <right/>
      <top/>
      <bottom/>
      <diagonal/>
    </border>
    <border>
      <left/>
      <right/>
      <top/>
      <bottom style="medium">
        <color indexed="64"/>
      </bottom>
      <diagonal/>
    </border>
    <border>
      <left/>
      <right/>
      <top style="medium">
        <color auto="1"/>
      </top>
      <bottom/>
      <diagonal/>
    </border>
    <border>
      <left/>
      <right/>
      <top style="thin">
        <color indexed="64"/>
      </top>
      <bottom style="medium">
        <color indexed="64"/>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top/>
      <bottom style="medium">
        <color indexed="64"/>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style="thin">
        <color auto="1"/>
      </right>
      <top/>
      <bottom/>
      <diagonal/>
    </border>
    <border>
      <left/>
      <right style="thin">
        <color auto="1"/>
      </right>
      <top style="medium">
        <color indexed="64"/>
      </top>
      <bottom/>
      <diagonal/>
    </border>
  </borders>
  <cellStyleXfs count="2">
    <xf numFmtId="0" fontId="0" fillId="0" borderId="0"/>
    <xf numFmtId="9" fontId="4" fillId="0" borderId="0" applyFont="0" applyFill="0" applyBorder="0" applyAlignment="0" applyProtection="0"/>
  </cellStyleXfs>
  <cellXfs count="80">
    <xf numFmtId="0" fontId="0" fillId="0" borderId="0" xfId="0"/>
    <xf numFmtId="0" fontId="1" fillId="0" borderId="0" xfId="0" applyFont="1"/>
    <xf numFmtId="0" fontId="1" fillId="0" borderId="0" xfId="0" applyFont="1" applyAlignment="1">
      <alignment horizontal="left" indent="1"/>
    </xf>
    <xf numFmtId="0" fontId="1" fillId="0" borderId="1" xfId="0" applyFont="1" applyBorder="1"/>
    <xf numFmtId="0" fontId="1" fillId="0" borderId="0" xfId="0" applyFont="1" applyAlignment="1">
      <alignment horizontal="left" indent="3"/>
    </xf>
    <xf numFmtId="0" fontId="1" fillId="0" borderId="0" xfId="0" applyFont="1" applyAlignment="1">
      <alignment horizontal="left" indent="4"/>
    </xf>
    <xf numFmtId="0" fontId="2" fillId="0" borderId="0" xfId="0" applyFont="1"/>
    <xf numFmtId="0" fontId="1" fillId="0" borderId="0" xfId="0" applyFont="1" applyAlignment="1">
      <alignment horizontal="left"/>
    </xf>
    <xf numFmtId="0" fontId="1" fillId="0" borderId="1" xfId="0" applyFont="1" applyBorder="1" applyAlignment="1">
      <alignment horizontal="left" indent="1"/>
    </xf>
    <xf numFmtId="0" fontId="1" fillId="0" borderId="0" xfId="0" applyFont="1" applyAlignment="1">
      <alignment horizontal="center" wrapText="1"/>
    </xf>
    <xf numFmtId="0" fontId="5" fillId="0" borderId="0" xfId="0" applyFont="1"/>
    <xf numFmtId="0" fontId="1" fillId="0" borderId="0" xfId="0" applyFont="1" applyAlignment="1">
      <alignment wrapText="1"/>
    </xf>
    <xf numFmtId="0" fontId="1" fillId="0" borderId="0" xfId="0" applyFont="1" applyAlignment="1">
      <alignment horizontal="left" indent="2"/>
    </xf>
    <xf numFmtId="0" fontId="1" fillId="0" borderId="0" xfId="0" applyFont="1" applyAlignment="1">
      <alignment horizontal="left" indent="6"/>
    </xf>
    <xf numFmtId="0" fontId="1" fillId="0" borderId="1" xfId="0" applyFont="1" applyBorder="1" applyAlignment="1">
      <alignment horizontal="left" indent="4"/>
    </xf>
    <xf numFmtId="0" fontId="1" fillId="0" borderId="0" xfId="0" applyFont="1" applyAlignment="1">
      <alignment horizontal="left" wrapText="1" indent="2"/>
    </xf>
    <xf numFmtId="0" fontId="1" fillId="0" borderId="1" xfId="0" applyFont="1" applyBorder="1" applyAlignment="1">
      <alignment horizontal="left" indent="6"/>
    </xf>
    <xf numFmtId="0" fontId="1" fillId="0" borderId="0" xfId="0" applyFont="1" applyAlignment="1">
      <alignment horizontal="center"/>
    </xf>
    <xf numFmtId="0" fontId="1" fillId="0" borderId="4" xfId="0" applyFont="1" applyBorder="1" applyAlignment="1">
      <alignment horizontal="center" wrapText="1"/>
    </xf>
    <xf numFmtId="3" fontId="1" fillId="0" borderId="0" xfId="0" applyNumberFormat="1" applyFont="1"/>
    <xf numFmtId="10" fontId="1" fillId="0" borderId="0" xfId="0" applyNumberFormat="1" applyFont="1"/>
    <xf numFmtId="6" fontId="1" fillId="0" borderId="0" xfId="0" applyNumberFormat="1" applyFont="1"/>
    <xf numFmtId="0" fontId="1" fillId="0" borderId="1" xfId="0" applyFont="1" applyBorder="1" applyAlignment="1">
      <alignment horizontal="left" indent="2"/>
    </xf>
    <xf numFmtId="0" fontId="1" fillId="0" borderId="1" xfId="0" applyFont="1" applyBorder="1" applyAlignment="1">
      <alignment horizontal="center" wrapText="1"/>
    </xf>
    <xf numFmtId="0" fontId="1" fillId="0" borderId="11" xfId="0" applyFont="1" applyBorder="1" applyAlignment="1">
      <alignment horizontal="center" wrapText="1"/>
    </xf>
    <xf numFmtId="0" fontId="2" fillId="0" borderId="0" xfId="0" applyFont="1" applyAlignment="1">
      <alignment horizontal="center"/>
    </xf>
    <xf numFmtId="164" fontId="1" fillId="0" borderId="0" xfId="1" applyNumberFormat="1" applyFont="1" applyAlignment="1">
      <alignment horizontal="center"/>
    </xf>
    <xf numFmtId="3" fontId="6" fillId="0" borderId="0" xfId="0" applyNumberFormat="1" applyFont="1" applyAlignment="1">
      <alignment horizontal="center" vertical="top" wrapText="1"/>
    </xf>
    <xf numFmtId="3" fontId="1" fillId="0" borderId="0" xfId="0" applyNumberFormat="1" applyFont="1" applyAlignment="1">
      <alignment horizontal="center"/>
    </xf>
    <xf numFmtId="165" fontId="1" fillId="0" borderId="0" xfId="0" applyNumberFormat="1" applyFont="1" applyAlignment="1">
      <alignment horizontal="center"/>
    </xf>
    <xf numFmtId="0" fontId="7" fillId="0" borderId="0" xfId="0" applyFont="1"/>
    <xf numFmtId="3" fontId="1" fillId="0" borderId="7" xfId="0" applyNumberFormat="1" applyFont="1" applyBorder="1" applyAlignment="1">
      <alignment horizontal="center"/>
    </xf>
    <xf numFmtId="164" fontId="1" fillId="0" borderId="0" xfId="1" applyNumberFormat="1" applyFont="1" applyBorder="1" applyAlignment="1">
      <alignment horizontal="center"/>
    </xf>
    <xf numFmtId="2" fontId="1" fillId="0" borderId="0" xfId="1" applyNumberFormat="1" applyFont="1" applyAlignment="1">
      <alignment horizontal="center"/>
    </xf>
    <xf numFmtId="0" fontId="1" fillId="0" borderId="8" xfId="0" applyFont="1" applyBorder="1" applyAlignment="1">
      <alignment horizontal="center"/>
    </xf>
    <xf numFmtId="166" fontId="1" fillId="0" borderId="0" xfId="1" applyNumberFormat="1" applyFont="1" applyAlignment="1">
      <alignment horizontal="center"/>
    </xf>
    <xf numFmtId="3" fontId="1" fillId="0" borderId="8" xfId="0" applyNumberFormat="1" applyFont="1" applyBorder="1" applyAlignment="1">
      <alignment horizontal="center"/>
    </xf>
    <xf numFmtId="164" fontId="1" fillId="0" borderId="12" xfId="1" applyNumberFormat="1" applyFont="1" applyBorder="1" applyAlignment="1">
      <alignment horizontal="center"/>
    </xf>
    <xf numFmtId="2" fontId="1" fillId="0" borderId="0" xfId="1" applyNumberFormat="1" applyFont="1" applyBorder="1" applyAlignment="1">
      <alignment horizontal="center"/>
    </xf>
    <xf numFmtId="3" fontId="1" fillId="0" borderId="6" xfId="0" applyNumberFormat="1" applyFont="1" applyBorder="1" applyAlignment="1">
      <alignment horizontal="center"/>
    </xf>
    <xf numFmtId="164" fontId="1" fillId="0" borderId="10" xfId="1" applyNumberFormat="1" applyFont="1" applyBorder="1" applyAlignment="1">
      <alignment horizontal="center"/>
    </xf>
    <xf numFmtId="164" fontId="1" fillId="0" borderId="1" xfId="1" applyNumberFormat="1" applyFont="1" applyBorder="1" applyAlignment="1">
      <alignment horizontal="center"/>
    </xf>
    <xf numFmtId="3" fontId="1" fillId="0" borderId="1" xfId="0" applyNumberFormat="1" applyFont="1" applyBorder="1" applyAlignment="1">
      <alignment horizontal="center"/>
    </xf>
    <xf numFmtId="2" fontId="1" fillId="0" borderId="1" xfId="1" applyNumberFormat="1" applyFont="1" applyBorder="1" applyAlignment="1">
      <alignment horizontal="center"/>
    </xf>
    <xf numFmtId="3" fontId="1" fillId="0" borderId="9" xfId="0" applyNumberFormat="1" applyFont="1" applyBorder="1" applyAlignment="1">
      <alignment horizontal="center"/>
    </xf>
    <xf numFmtId="167" fontId="1" fillId="0" borderId="0" xfId="1" applyNumberFormat="1" applyFont="1" applyAlignment="1">
      <alignment horizontal="center"/>
    </xf>
    <xf numFmtId="0" fontId="1" fillId="0" borderId="5" xfId="0" applyFont="1" applyBorder="1" applyAlignment="1">
      <alignment horizontal="center"/>
    </xf>
    <xf numFmtId="3" fontId="1" fillId="0" borderId="5" xfId="0" applyNumberFormat="1" applyFont="1" applyBorder="1" applyAlignment="1">
      <alignment horizontal="center"/>
    </xf>
    <xf numFmtId="3" fontId="1" fillId="0" borderId="4" xfId="0" applyNumberFormat="1" applyFont="1" applyBorder="1" applyAlignment="1">
      <alignment horizontal="center"/>
    </xf>
    <xf numFmtId="3" fontId="6" fillId="0" borderId="9" xfId="0" applyNumberFormat="1" applyFont="1" applyBorder="1" applyAlignment="1">
      <alignment horizontal="center"/>
    </xf>
    <xf numFmtId="3" fontId="6" fillId="0" borderId="7" xfId="0" applyNumberFormat="1" applyFont="1" applyBorder="1" applyAlignment="1">
      <alignment horizontal="center"/>
    </xf>
    <xf numFmtId="164" fontId="6" fillId="0" borderId="13" xfId="1" applyNumberFormat="1" applyFont="1" applyFill="1" applyBorder="1" applyAlignment="1">
      <alignment horizontal="center"/>
    </xf>
    <xf numFmtId="164" fontId="6" fillId="0" borderId="2" xfId="1" applyNumberFormat="1" applyFont="1" applyFill="1" applyBorder="1" applyAlignment="1">
      <alignment horizontal="center"/>
    </xf>
    <xf numFmtId="0" fontId="6" fillId="0" borderId="5" xfId="0" applyFont="1" applyBorder="1" applyAlignment="1">
      <alignment horizontal="center"/>
    </xf>
    <xf numFmtId="0" fontId="6" fillId="0" borderId="8" xfId="0" applyFont="1" applyBorder="1" applyAlignment="1">
      <alignment horizontal="center"/>
    </xf>
    <xf numFmtId="0" fontId="6" fillId="0" borderId="12" xfId="0" applyFont="1" applyBorder="1" applyAlignment="1">
      <alignment horizontal="center"/>
    </xf>
    <xf numFmtId="0" fontId="6" fillId="0" borderId="0" xfId="0" applyFont="1" applyAlignment="1">
      <alignment horizontal="center"/>
    </xf>
    <xf numFmtId="166" fontId="1" fillId="0" borderId="0" xfId="0" applyNumberFormat="1" applyFont="1" applyAlignment="1">
      <alignment horizontal="center"/>
    </xf>
    <xf numFmtId="164" fontId="1" fillId="0" borderId="12" xfId="0" applyNumberFormat="1" applyFont="1" applyBorder="1" applyAlignment="1">
      <alignment horizontal="center"/>
    </xf>
    <xf numFmtId="164" fontId="1" fillId="0" borderId="0" xfId="0" applyNumberFormat="1" applyFont="1" applyAlignment="1">
      <alignment horizontal="center"/>
    </xf>
    <xf numFmtId="0" fontId="7" fillId="0" borderId="0" xfId="0" applyFont="1" applyAlignment="1">
      <alignment horizontal="center"/>
    </xf>
    <xf numFmtId="0" fontId="1" fillId="0" borderId="1" xfId="0" applyFont="1" applyBorder="1" applyAlignment="1">
      <alignment horizontal="center"/>
    </xf>
    <xf numFmtId="165" fontId="1" fillId="0" borderId="0" xfId="0" applyNumberFormat="1" applyFont="1"/>
    <xf numFmtId="165" fontId="1" fillId="0" borderId="0" xfId="0" applyNumberFormat="1" applyFont="1" applyAlignment="1">
      <alignment horizontal="center" wrapText="1"/>
    </xf>
    <xf numFmtId="0" fontId="1" fillId="0" borderId="0" xfId="0" applyFont="1" applyAlignment="1">
      <alignment horizontal="left" wrapText="1"/>
    </xf>
    <xf numFmtId="168" fontId="1" fillId="0" borderId="0" xfId="0" applyNumberFormat="1" applyFont="1" applyAlignment="1">
      <alignment horizontal="center"/>
    </xf>
    <xf numFmtId="0" fontId="1" fillId="0" borderId="0" xfId="0" quotePrefix="1" applyFont="1" applyAlignment="1">
      <alignment horizontal="center"/>
    </xf>
    <xf numFmtId="0" fontId="1" fillId="0" borderId="1" xfId="0" quotePrefix="1" applyFont="1" applyBorder="1" applyAlignment="1">
      <alignment horizontal="center"/>
    </xf>
    <xf numFmtId="0" fontId="6" fillId="0" borderId="0" xfId="0" applyFont="1" applyAlignment="1">
      <alignment vertical="top" wrapText="1"/>
    </xf>
    <xf numFmtId="169" fontId="1" fillId="0" borderId="0" xfId="0" applyNumberFormat="1" applyFont="1" applyAlignment="1">
      <alignment horizontal="center"/>
    </xf>
    <xf numFmtId="0" fontId="8" fillId="0" borderId="0" xfId="0" applyFont="1"/>
    <xf numFmtId="165" fontId="1" fillId="0" borderId="0" xfId="0" applyNumberFormat="1" applyFont="1" applyFill="1" applyAlignment="1">
      <alignment horizontal="center"/>
    </xf>
    <xf numFmtId="0" fontId="1" fillId="0" borderId="0" xfId="0" applyFont="1" applyAlignment="1">
      <alignment horizontal="center"/>
    </xf>
    <xf numFmtId="0" fontId="1" fillId="0" borderId="3" xfId="0" applyFont="1" applyBorder="1" applyAlignment="1">
      <alignment horizontal="center" wrapText="1"/>
    </xf>
    <xf numFmtId="0" fontId="6" fillId="0" borderId="0" xfId="0" applyFont="1" applyAlignment="1">
      <alignment horizontal="left" vertical="top"/>
    </xf>
    <xf numFmtId="0" fontId="6"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horizontal="left" vertical="top" wrapText="1"/>
    </xf>
    <xf numFmtId="0" fontId="6" fillId="0" borderId="2" xfId="0" applyFont="1" applyBorder="1" applyAlignment="1">
      <alignment horizontal="left" vertical="top" wrapText="1"/>
    </xf>
    <xf numFmtId="0" fontId="1" fillId="0" borderId="1" xfId="0" applyFont="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res\centers\Ibp\Center\Projects\102771%20-%20NY%20OTDA\Results%20tables\ATTIS%20Results_Baseli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res\centers\Ibp\Center\Projects\102771%20-%20NY%20OTDA\Task%203%20Template%20for%20Simulation%20Results\Task%203%20simulation%20results\simulation%20output%20by%20program\Alt%20Baseline%20SPM%20Poverty%20Out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res\centers\Ibp\Center\Projects\102771%20-%20NY%20OTDA\Task%205%20Enacted%20Policy%20Sims\Task%205%20final%20results\Simulation%20output%20by%20program\NY19_Enact4_V2MW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res\centers\Ibp\Center\Projects\102771%20-%20NY%20OTDA\Task%203%20Template%20for%20Simulation%20Results\technical%20prep\households%20by%20age%20catego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IS Summary Tables"/>
      <sheetName val="placeholder for nav tables"/>
    </sheetNames>
    <sheetDataSet>
      <sheetData sheetId="0">
        <row r="172">
          <cell r="C172">
            <v>8068</v>
          </cell>
          <cell r="D172">
            <v>2087</v>
          </cell>
          <cell r="G172">
            <v>412</v>
          </cell>
          <cell r="H172">
            <v>349</v>
          </cell>
        </row>
        <row r="615">
          <cell r="J615">
            <v>18879900</v>
          </cell>
        </row>
        <row r="617">
          <cell r="J617">
            <v>10430800</v>
          </cell>
        </row>
        <row r="618">
          <cell r="J618">
            <v>2625710</v>
          </cell>
        </row>
        <row r="619">
          <cell r="J619">
            <v>1627800</v>
          </cell>
        </row>
        <row r="620">
          <cell r="J620">
            <v>3645790</v>
          </cell>
        </row>
        <row r="621">
          <cell r="J621">
            <v>549715</v>
          </cell>
        </row>
        <row r="633">
          <cell r="J633">
            <v>3993930</v>
          </cell>
        </row>
        <row r="634">
          <cell r="J634">
            <v>1522910</v>
          </cell>
        </row>
        <row r="635">
          <cell r="J635">
            <v>7623040</v>
          </cell>
        </row>
        <row r="636">
          <cell r="J636">
            <v>2557620</v>
          </cell>
        </row>
        <row r="637">
          <cell r="J637">
            <v>3182360</v>
          </cell>
        </row>
        <row r="839">
          <cell r="J839">
            <v>3993930</v>
          </cell>
        </row>
        <row r="841">
          <cell r="J841">
            <v>1910530</v>
          </cell>
        </row>
        <row r="842">
          <cell r="J842">
            <v>581319</v>
          </cell>
        </row>
        <row r="843">
          <cell r="J843">
            <v>302557</v>
          </cell>
        </row>
        <row r="844">
          <cell r="J844">
            <v>995531</v>
          </cell>
        </row>
        <row r="845">
          <cell r="J845">
            <v>203998</v>
          </cell>
        </row>
        <row r="857">
          <cell r="J857">
            <v>646360</v>
          </cell>
        </row>
        <row r="858">
          <cell r="J858">
            <v>461909</v>
          </cell>
        </row>
        <row r="859">
          <cell r="J859">
            <v>1738360</v>
          </cell>
        </row>
        <row r="860">
          <cell r="J860">
            <v>1147310</v>
          </cell>
        </row>
        <row r="1033">
          <cell r="J1033">
            <v>7253210</v>
          </cell>
        </row>
        <row r="1259">
          <cell r="J1259">
            <v>2952930</v>
          </cell>
        </row>
        <row r="2024">
          <cell r="H2024">
            <v>8135460</v>
          </cell>
        </row>
        <row r="2044">
          <cell r="H2044">
            <v>18879900</v>
          </cell>
        </row>
        <row r="2631">
          <cell r="H2631">
            <v>874058</v>
          </cell>
        </row>
        <row r="2651">
          <cell r="H2651">
            <v>2087430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M poverty tables"/>
      <sheetName val="key results (script)"/>
      <sheetName val="ESCC"/>
    </sheetNames>
    <sheetDataSet>
      <sheetData sheetId="0">
        <row r="215">
          <cell r="C215">
            <v>442</v>
          </cell>
          <cell r="D215">
            <v>49</v>
          </cell>
          <cell r="G215">
            <v>12</v>
          </cell>
          <cell r="H215">
            <v>21</v>
          </cell>
        </row>
        <row r="216">
          <cell r="C216">
            <v>183</v>
          </cell>
          <cell r="D216">
            <v>41</v>
          </cell>
          <cell r="G216">
            <v>11</v>
          </cell>
          <cell r="H216">
            <v>15</v>
          </cell>
        </row>
        <row r="217">
          <cell r="C217">
            <v>141</v>
          </cell>
          <cell r="D217">
            <v>33</v>
          </cell>
          <cell r="G217">
            <v>9</v>
          </cell>
          <cell r="H217">
            <v>11</v>
          </cell>
        </row>
        <row r="218">
          <cell r="C218">
            <v>542</v>
          </cell>
          <cell r="D218">
            <v>157</v>
          </cell>
          <cell r="G218">
            <v>42</v>
          </cell>
          <cell r="H218">
            <v>46</v>
          </cell>
        </row>
        <row r="219">
          <cell r="C219">
            <v>729</v>
          </cell>
          <cell r="D219">
            <v>228</v>
          </cell>
          <cell r="G219">
            <v>62</v>
          </cell>
          <cell r="H219">
            <v>62</v>
          </cell>
        </row>
        <row r="220">
          <cell r="C220">
            <v>602</v>
          </cell>
          <cell r="D220">
            <v>215</v>
          </cell>
          <cell r="G220">
            <v>57</v>
          </cell>
          <cell r="H220">
            <v>57</v>
          </cell>
        </row>
        <row r="221">
          <cell r="C221">
            <v>498</v>
          </cell>
          <cell r="D221">
            <v>181</v>
          </cell>
          <cell r="G221">
            <v>49</v>
          </cell>
          <cell r="H221">
            <v>35</v>
          </cell>
        </row>
        <row r="222">
          <cell r="C222">
            <v>433</v>
          </cell>
          <cell r="D222">
            <v>134</v>
          </cell>
          <cell r="G222">
            <v>31</v>
          </cell>
          <cell r="H222">
            <v>23</v>
          </cell>
        </row>
        <row r="615">
          <cell r="D615">
            <v>667553</v>
          </cell>
          <cell r="E615">
            <v>2556800</v>
          </cell>
          <cell r="F615">
            <v>5822720</v>
          </cell>
          <cell r="G615">
            <v>8271460</v>
          </cell>
        </row>
        <row r="617">
          <cell r="D617">
            <v>288405</v>
          </cell>
          <cell r="E617">
            <v>951558</v>
          </cell>
          <cell r="F617">
            <v>2077290</v>
          </cell>
          <cell r="G617">
            <v>3204860</v>
          </cell>
        </row>
        <row r="618">
          <cell r="D618">
            <v>112482</v>
          </cell>
          <cell r="E618">
            <v>447202</v>
          </cell>
          <cell r="F618">
            <v>1130750</v>
          </cell>
          <cell r="G618">
            <v>1540470</v>
          </cell>
        </row>
        <row r="619">
          <cell r="D619">
            <v>96164</v>
          </cell>
          <cell r="E619">
            <v>344771</v>
          </cell>
          <cell r="F619">
            <v>662867</v>
          </cell>
          <cell r="G619">
            <v>860298</v>
          </cell>
        </row>
        <row r="620">
          <cell r="D620">
            <v>148349</v>
          </cell>
          <cell r="E620">
            <v>720529</v>
          </cell>
          <cell r="F620">
            <v>1760610</v>
          </cell>
          <cell r="G620">
            <v>2395020</v>
          </cell>
        </row>
        <row r="621">
          <cell r="D621">
            <v>22153</v>
          </cell>
          <cell r="E621">
            <v>92743</v>
          </cell>
          <cell r="F621">
            <v>191205</v>
          </cell>
          <cell r="G621">
            <v>270808</v>
          </cell>
        </row>
        <row r="633">
          <cell r="D633">
            <v>88122</v>
          </cell>
          <cell r="E633">
            <v>556335</v>
          </cell>
          <cell r="F633">
            <v>1472790</v>
          </cell>
          <cell r="G633">
            <v>2095780</v>
          </cell>
        </row>
        <row r="634">
          <cell r="D634">
            <v>137320</v>
          </cell>
          <cell r="E634">
            <v>341828</v>
          </cell>
          <cell r="F634">
            <v>648214</v>
          </cell>
          <cell r="G634">
            <v>867762</v>
          </cell>
        </row>
        <row r="635">
          <cell r="D635">
            <v>242556</v>
          </cell>
          <cell r="E635">
            <v>885409</v>
          </cell>
          <cell r="F635">
            <v>2052530</v>
          </cell>
          <cell r="G635">
            <v>3037120</v>
          </cell>
        </row>
        <row r="636">
          <cell r="D636">
            <v>97291</v>
          </cell>
          <cell r="E636">
            <v>322318</v>
          </cell>
          <cell r="F636">
            <v>664798</v>
          </cell>
          <cell r="G636">
            <v>941471</v>
          </cell>
        </row>
        <row r="637">
          <cell r="D637">
            <v>102264</v>
          </cell>
          <cell r="E637">
            <v>450913</v>
          </cell>
          <cell r="F637">
            <v>984384</v>
          </cell>
          <cell r="G637">
            <v>1329320</v>
          </cell>
        </row>
        <row r="839">
          <cell r="E839">
            <v>556335</v>
          </cell>
        </row>
        <row r="841">
          <cell r="D841">
            <v>27898</v>
          </cell>
          <cell r="E841">
            <v>176561</v>
          </cell>
          <cell r="F841">
            <v>442543</v>
          </cell>
          <cell r="G841">
            <v>698625</v>
          </cell>
        </row>
        <row r="842">
          <cell r="D842">
            <v>17121</v>
          </cell>
          <cell r="E842">
            <v>90269</v>
          </cell>
          <cell r="F842">
            <v>290924</v>
          </cell>
          <cell r="G842">
            <v>400093</v>
          </cell>
        </row>
        <row r="843">
          <cell r="D843">
            <v>9243</v>
          </cell>
          <cell r="E843">
            <v>55503</v>
          </cell>
          <cell r="F843">
            <v>134584</v>
          </cell>
          <cell r="G843">
            <v>176048</v>
          </cell>
        </row>
        <row r="844">
          <cell r="D844">
            <v>28303</v>
          </cell>
          <cell r="E844">
            <v>202549</v>
          </cell>
          <cell r="F844">
            <v>530753</v>
          </cell>
        </row>
        <row r="845">
          <cell r="D845">
            <v>5557</v>
          </cell>
          <cell r="E845">
            <v>31453</v>
          </cell>
          <cell r="F845">
            <v>73986</v>
          </cell>
          <cell r="G845">
            <v>104681</v>
          </cell>
        </row>
        <row r="857">
          <cell r="D857">
            <v>13585</v>
          </cell>
          <cell r="E857">
            <v>95362</v>
          </cell>
          <cell r="F857">
            <v>245823</v>
          </cell>
          <cell r="G857">
            <v>348451</v>
          </cell>
        </row>
        <row r="858">
          <cell r="D858">
            <v>11963</v>
          </cell>
          <cell r="E858">
            <v>73317</v>
          </cell>
          <cell r="F858">
            <v>188769</v>
          </cell>
          <cell r="G858">
            <v>257726</v>
          </cell>
        </row>
        <row r="859">
          <cell r="E859">
            <v>227585</v>
          </cell>
        </row>
        <row r="860">
          <cell r="E860">
            <v>160071</v>
          </cell>
        </row>
        <row r="1033">
          <cell r="D1033">
            <v>392542</v>
          </cell>
          <cell r="E1033">
            <v>1011410</v>
          </cell>
          <cell r="F1033">
            <v>1926130</v>
          </cell>
          <cell r="G1033">
            <v>2724700</v>
          </cell>
        </row>
        <row r="1259">
          <cell r="D1259">
            <v>99531</v>
          </cell>
          <cell r="E1259">
            <v>426066</v>
          </cell>
          <cell r="F1259">
            <v>907944</v>
          </cell>
          <cell r="G1259">
            <v>1210870</v>
          </cell>
        </row>
        <row r="2024">
          <cell r="C2024">
            <v>352021</v>
          </cell>
          <cell r="D2024">
            <v>1517620</v>
          </cell>
          <cell r="E2024">
            <v>3401820</v>
          </cell>
          <cell r="F2024">
            <v>4493120</v>
          </cell>
        </row>
        <row r="2044">
          <cell r="C2044">
            <v>667553</v>
          </cell>
          <cell r="D2044">
            <v>2556800</v>
          </cell>
          <cell r="E2044">
            <v>5822720</v>
          </cell>
          <cell r="F2044">
            <v>8271460</v>
          </cell>
        </row>
        <row r="2631">
          <cell r="C2631">
            <v>25779</v>
          </cell>
          <cell r="D2631">
            <v>165648</v>
          </cell>
          <cell r="E2631">
            <v>418187</v>
          </cell>
          <cell r="F2631">
            <v>552220</v>
          </cell>
        </row>
        <row r="2651">
          <cell r="C2651">
            <v>49081</v>
          </cell>
          <cell r="D2651">
            <v>280064</v>
          </cell>
          <cell r="E2651">
            <v>723234</v>
          </cell>
          <cell r="F2651">
            <v>1038220</v>
          </cell>
        </row>
      </sheetData>
      <sheetData sheetId="1">
        <row r="13">
          <cell r="B13">
            <v>600.45000000000005</v>
          </cell>
        </row>
        <row r="15">
          <cell r="B15">
            <v>105837</v>
          </cell>
        </row>
        <row r="22">
          <cell r="B22">
            <v>10791041024</v>
          </cell>
        </row>
        <row r="23">
          <cell r="B23">
            <v>-19747698</v>
          </cell>
        </row>
        <row r="34">
          <cell r="B34">
            <v>110280</v>
          </cell>
        </row>
        <row r="35">
          <cell r="B35">
            <v>-3428</v>
          </cell>
        </row>
        <row r="52">
          <cell r="B52">
            <v>107706</v>
          </cell>
        </row>
        <row r="54">
          <cell r="B54">
            <v>513850624</v>
          </cell>
        </row>
        <row r="56">
          <cell r="B56">
            <v>546678</v>
          </cell>
        </row>
        <row r="60">
          <cell r="B60">
            <v>7302606336</v>
          </cell>
        </row>
        <row r="70">
          <cell r="B70">
            <v>1469150</v>
          </cell>
        </row>
        <row r="71">
          <cell r="B71">
            <v>226947312</v>
          </cell>
        </row>
        <row r="73">
          <cell r="B73">
            <v>40627</v>
          </cell>
        </row>
        <row r="74">
          <cell r="B74">
            <v>40627</v>
          </cell>
        </row>
        <row r="75">
          <cell r="B75">
            <v>3649</v>
          </cell>
        </row>
        <row r="87">
          <cell r="B87">
            <v>1427085</v>
          </cell>
        </row>
        <row r="88">
          <cell r="B88">
            <v>3750447360</v>
          </cell>
        </row>
        <row r="266">
          <cell r="B266">
            <v>3524579328</v>
          </cell>
        </row>
        <row r="267">
          <cell r="B267">
            <v>76778</v>
          </cell>
        </row>
        <row r="268">
          <cell r="B268">
            <v>635985280</v>
          </cell>
        </row>
        <row r="271">
          <cell r="B271">
            <v>524744</v>
          </cell>
        </row>
        <row r="276">
          <cell r="B276">
            <v>36737630208</v>
          </cell>
        </row>
        <row r="277">
          <cell r="B277">
            <v>-839379968</v>
          </cell>
        </row>
        <row r="278">
          <cell r="B278">
            <v>1008817</v>
          </cell>
        </row>
        <row r="279">
          <cell r="B279">
            <v>619</v>
          </cell>
        </row>
        <row r="280">
          <cell r="B280">
            <v>447943</v>
          </cell>
        </row>
        <row r="281">
          <cell r="B281">
            <v>496</v>
          </cell>
        </row>
        <row r="296">
          <cell r="B296">
            <v>111850</v>
          </cell>
        </row>
        <row r="297">
          <cell r="B297">
            <v>816161344</v>
          </cell>
        </row>
        <row r="298">
          <cell r="B298">
            <v>9057</v>
          </cell>
        </row>
        <row r="303">
          <cell r="B303">
            <v>376857</v>
          </cell>
        </row>
        <row r="304">
          <cell r="B304">
            <v>1904940672</v>
          </cell>
        </row>
        <row r="306">
          <cell r="B306">
            <v>38034</v>
          </cell>
        </row>
        <row r="308">
          <cell r="B308">
            <v>196137</v>
          </cell>
        </row>
        <row r="310">
          <cell r="B310">
            <v>90015</v>
          </cell>
        </row>
        <row r="311">
          <cell r="B311">
            <v>352027712</v>
          </cell>
        </row>
      </sheetData>
      <sheetData sheetId="2">
        <row r="8">
          <cell r="B8">
            <v>1687572</v>
          </cell>
          <cell r="C8">
            <v>1018078381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key results)"/>
      <sheetName val="SPM tables"/>
      <sheetName val="CustomOutput (table 5)"/>
      <sheetName val="ESCC"/>
    </sheetNames>
    <sheetDataSet>
      <sheetData sheetId="0">
        <row r="13">
          <cell r="B13">
            <v>2311.5700000000002</v>
          </cell>
        </row>
        <row r="15">
          <cell r="B15">
            <v>230621</v>
          </cell>
        </row>
        <row r="22">
          <cell r="B22">
            <v>10769843200</v>
          </cell>
        </row>
        <row r="23">
          <cell r="B23">
            <v>-120473936</v>
          </cell>
        </row>
        <row r="34">
          <cell r="B34">
            <v>110360</v>
          </cell>
        </row>
        <row r="35">
          <cell r="B35">
            <v>-3390</v>
          </cell>
        </row>
        <row r="52">
          <cell r="B52">
            <v>111363</v>
          </cell>
        </row>
        <row r="54">
          <cell r="B54">
            <v>534268608</v>
          </cell>
        </row>
        <row r="56">
          <cell r="B56">
            <v>546385</v>
          </cell>
        </row>
        <row r="60">
          <cell r="B60">
            <v>7275574784</v>
          </cell>
        </row>
        <row r="70">
          <cell r="B70">
            <v>1469027</v>
          </cell>
        </row>
        <row r="71">
          <cell r="B71">
            <v>226901568</v>
          </cell>
        </row>
        <row r="73">
          <cell r="B73">
            <v>40682</v>
          </cell>
        </row>
        <row r="74">
          <cell r="B74">
            <v>40682</v>
          </cell>
        </row>
        <row r="75">
          <cell r="B75">
            <v>3649</v>
          </cell>
        </row>
        <row r="87">
          <cell r="B87">
            <v>1424866</v>
          </cell>
        </row>
        <row r="88">
          <cell r="B88">
            <v>3689087488</v>
          </cell>
        </row>
        <row r="266">
          <cell r="B266">
            <v>3523630080</v>
          </cell>
        </row>
        <row r="267">
          <cell r="B267">
            <v>76778</v>
          </cell>
        </row>
        <row r="268">
          <cell r="B268">
            <v>634534912</v>
          </cell>
        </row>
        <row r="271">
          <cell r="B271">
            <v>524597</v>
          </cell>
        </row>
        <row r="276">
          <cell r="B276">
            <v>36605747200</v>
          </cell>
        </row>
        <row r="277">
          <cell r="B277">
            <v>-1111203200</v>
          </cell>
        </row>
        <row r="278">
          <cell r="B278">
            <v>1018760</v>
          </cell>
        </row>
        <row r="279">
          <cell r="B279">
            <v>797</v>
          </cell>
        </row>
        <row r="280">
          <cell r="B280">
            <v>483375</v>
          </cell>
        </row>
        <row r="281">
          <cell r="B281">
            <v>375</v>
          </cell>
        </row>
        <row r="296">
          <cell r="B296">
            <v>129954</v>
          </cell>
        </row>
        <row r="297">
          <cell r="B297">
            <v>946201216</v>
          </cell>
        </row>
        <row r="298">
          <cell r="B298">
            <v>11483</v>
          </cell>
        </row>
        <row r="303">
          <cell r="B303">
            <v>377128</v>
          </cell>
        </row>
        <row r="304">
          <cell r="B304">
            <v>1910539136</v>
          </cell>
        </row>
        <row r="306">
          <cell r="B306">
            <v>38034</v>
          </cell>
        </row>
        <row r="308">
          <cell r="B308">
            <v>196137</v>
          </cell>
        </row>
        <row r="310">
          <cell r="B310">
            <v>90015</v>
          </cell>
        </row>
        <row r="311">
          <cell r="B311">
            <v>352027712</v>
          </cell>
        </row>
      </sheetData>
      <sheetData sheetId="1">
        <row r="215">
          <cell r="C215">
            <v>434</v>
          </cell>
          <cell r="D215">
            <v>45</v>
          </cell>
          <cell r="G215">
            <v>11</v>
          </cell>
          <cell r="H215">
            <v>20</v>
          </cell>
        </row>
        <row r="216">
          <cell r="C216">
            <v>180</v>
          </cell>
          <cell r="D216">
            <v>37</v>
          </cell>
          <cell r="G216">
            <v>10</v>
          </cell>
          <cell r="H216">
            <v>15</v>
          </cell>
        </row>
        <row r="217">
          <cell r="C217">
            <v>135</v>
          </cell>
          <cell r="D217">
            <v>29</v>
          </cell>
          <cell r="G217">
            <v>9</v>
          </cell>
          <cell r="H217">
            <v>10</v>
          </cell>
        </row>
        <row r="218">
          <cell r="C218">
            <v>523</v>
          </cell>
          <cell r="D218">
            <v>139</v>
          </cell>
          <cell r="G218">
            <v>37</v>
          </cell>
          <cell r="H218">
            <v>42</v>
          </cell>
        </row>
        <row r="219">
          <cell r="C219">
            <v>723</v>
          </cell>
          <cell r="D219">
            <v>222</v>
          </cell>
          <cell r="G219">
            <v>58</v>
          </cell>
          <cell r="H219">
            <v>58</v>
          </cell>
        </row>
        <row r="220">
          <cell r="C220">
            <v>604</v>
          </cell>
          <cell r="D220">
            <v>221</v>
          </cell>
          <cell r="G220">
            <v>60</v>
          </cell>
          <cell r="H220">
            <v>59</v>
          </cell>
        </row>
        <row r="221">
          <cell r="C221">
            <v>509</v>
          </cell>
          <cell r="D221">
            <v>189</v>
          </cell>
          <cell r="G221">
            <v>49</v>
          </cell>
          <cell r="H221">
            <v>40</v>
          </cell>
        </row>
        <row r="222">
          <cell r="C222">
            <v>444</v>
          </cell>
          <cell r="D222">
            <v>143</v>
          </cell>
          <cell r="G222">
            <v>36</v>
          </cell>
          <cell r="H222">
            <v>25</v>
          </cell>
        </row>
        <row r="615">
          <cell r="D615">
            <v>648048</v>
          </cell>
          <cell r="E615">
            <v>2413720</v>
          </cell>
          <cell r="F615">
            <v>5676840</v>
          </cell>
          <cell r="G615">
            <v>8205220</v>
          </cell>
        </row>
        <row r="617">
          <cell r="D617">
            <v>283509</v>
          </cell>
          <cell r="E617">
            <v>908117</v>
          </cell>
          <cell r="F617">
            <v>2021900</v>
          </cell>
          <cell r="G617">
            <v>3171230</v>
          </cell>
        </row>
        <row r="618">
          <cell r="D618">
            <v>107595</v>
          </cell>
          <cell r="E618">
            <v>424891</v>
          </cell>
          <cell r="F618">
            <v>1097950</v>
          </cell>
          <cell r="G618">
            <v>1529530</v>
          </cell>
        </row>
        <row r="619">
          <cell r="D619">
            <v>94961</v>
          </cell>
          <cell r="E619">
            <v>319923</v>
          </cell>
          <cell r="F619">
            <v>654640</v>
          </cell>
          <cell r="G619">
            <v>855532</v>
          </cell>
        </row>
        <row r="620">
          <cell r="D620">
            <v>141916</v>
          </cell>
          <cell r="E620">
            <v>670624</v>
          </cell>
          <cell r="F620">
            <v>1716140</v>
          </cell>
          <cell r="G620">
            <v>2380180</v>
          </cell>
        </row>
        <row r="621">
          <cell r="D621">
            <v>20067</v>
          </cell>
          <cell r="E621">
            <v>90161</v>
          </cell>
          <cell r="F621">
            <v>186215</v>
          </cell>
          <cell r="G621">
            <v>268749</v>
          </cell>
        </row>
        <row r="633">
          <cell r="D633">
            <v>80770</v>
          </cell>
          <cell r="E633">
            <v>487102</v>
          </cell>
          <cell r="F633">
            <v>1403240</v>
          </cell>
          <cell r="G633">
            <v>2070240</v>
          </cell>
        </row>
        <row r="634">
          <cell r="D634">
            <v>135409</v>
          </cell>
          <cell r="E634">
            <v>329386</v>
          </cell>
          <cell r="F634">
            <v>636380</v>
          </cell>
          <cell r="G634">
            <v>863131</v>
          </cell>
        </row>
        <row r="635">
          <cell r="D635">
            <v>234137</v>
          </cell>
          <cell r="E635">
            <v>835636</v>
          </cell>
          <cell r="F635">
            <v>1998690</v>
          </cell>
          <cell r="G635">
            <v>3007600</v>
          </cell>
        </row>
        <row r="636">
          <cell r="D636">
            <v>95468</v>
          </cell>
          <cell r="E636">
            <v>313141</v>
          </cell>
          <cell r="F636">
            <v>657485</v>
          </cell>
          <cell r="G636">
            <v>936850</v>
          </cell>
        </row>
        <row r="637">
          <cell r="D637">
            <v>102264</v>
          </cell>
          <cell r="E637">
            <v>448451</v>
          </cell>
          <cell r="F637">
            <v>981043</v>
          </cell>
          <cell r="G637">
            <v>1327400</v>
          </cell>
        </row>
        <row r="839">
          <cell r="E839">
            <v>487102</v>
          </cell>
        </row>
        <row r="841">
          <cell r="D841">
            <v>25952</v>
          </cell>
          <cell r="E841">
            <v>153128</v>
          </cell>
          <cell r="F841">
            <v>418453</v>
          </cell>
          <cell r="G841">
            <v>684315</v>
          </cell>
        </row>
        <row r="842">
          <cell r="D842">
            <v>15445</v>
          </cell>
          <cell r="E842">
            <v>79589</v>
          </cell>
          <cell r="F842">
            <v>272446</v>
          </cell>
          <cell r="G842">
            <v>396129</v>
          </cell>
        </row>
        <row r="843">
          <cell r="D843">
            <v>8948</v>
          </cell>
          <cell r="E843">
            <v>46135</v>
          </cell>
          <cell r="F843">
            <v>131598</v>
          </cell>
          <cell r="G843">
            <v>174683</v>
          </cell>
        </row>
        <row r="844">
          <cell r="D844">
            <v>26137</v>
          </cell>
          <cell r="E844">
            <v>178668</v>
          </cell>
          <cell r="F844">
            <v>510053</v>
          </cell>
        </row>
        <row r="845">
          <cell r="D845">
            <v>4288</v>
          </cell>
          <cell r="E845">
            <v>29582</v>
          </cell>
          <cell r="F845">
            <v>70695</v>
          </cell>
          <cell r="G845">
            <v>104009</v>
          </cell>
        </row>
        <row r="857">
          <cell r="D857">
            <v>11938</v>
          </cell>
          <cell r="E857">
            <v>82546</v>
          </cell>
          <cell r="F857">
            <v>230459</v>
          </cell>
          <cell r="G857">
            <v>341138</v>
          </cell>
        </row>
        <row r="858">
          <cell r="D858">
            <v>9842</v>
          </cell>
          <cell r="E858">
            <v>59996</v>
          </cell>
          <cell r="F858">
            <v>178074</v>
          </cell>
          <cell r="G858">
            <v>254281</v>
          </cell>
        </row>
        <row r="859">
          <cell r="E859">
            <v>199383</v>
          </cell>
        </row>
        <row r="860">
          <cell r="E860">
            <v>145177</v>
          </cell>
        </row>
        <row r="1033">
          <cell r="D1033">
            <v>387504</v>
          </cell>
          <cell r="E1033">
            <v>1000440</v>
          </cell>
          <cell r="F1033">
            <v>1909920</v>
          </cell>
          <cell r="G1033">
            <v>2713410</v>
          </cell>
        </row>
        <row r="1259">
          <cell r="D1259">
            <v>99531</v>
          </cell>
          <cell r="E1259">
            <v>425045</v>
          </cell>
          <cell r="F1259">
            <v>907479</v>
          </cell>
          <cell r="G1259">
            <v>1209760</v>
          </cell>
        </row>
        <row r="2024">
          <cell r="C2024">
            <v>338925</v>
          </cell>
          <cell r="D2024">
            <v>1411450</v>
          </cell>
          <cell r="E2024">
            <v>3332180</v>
          </cell>
          <cell r="F2024">
            <v>4473160</v>
          </cell>
        </row>
        <row r="2044">
          <cell r="C2044">
            <v>648048</v>
          </cell>
          <cell r="D2044">
            <v>2413720</v>
          </cell>
          <cell r="E2044">
            <v>5676840</v>
          </cell>
          <cell r="F2044">
            <v>8205220</v>
          </cell>
        </row>
        <row r="2631">
          <cell r="C2631">
            <v>23123</v>
          </cell>
          <cell r="D2631">
            <v>142851</v>
          </cell>
          <cell r="E2631">
            <v>404583</v>
          </cell>
          <cell r="F2631">
            <v>549044</v>
          </cell>
        </row>
        <row r="2651">
          <cell r="C2651">
            <v>44803</v>
          </cell>
          <cell r="D2651">
            <v>250146</v>
          </cell>
          <cell r="E2651">
            <v>693850</v>
          </cell>
          <cell r="F2651">
            <v>1025440</v>
          </cell>
        </row>
      </sheetData>
      <sheetData sheetId="2">
        <row r="13">
          <cell r="D13">
            <v>2577710</v>
          </cell>
        </row>
        <row r="14">
          <cell r="D14">
            <v>1997670</v>
          </cell>
        </row>
        <row r="15">
          <cell r="D15">
            <v>778404</v>
          </cell>
        </row>
        <row r="16">
          <cell r="D16">
            <v>580048</v>
          </cell>
        </row>
        <row r="17">
          <cell r="D17">
            <v>1876810000</v>
          </cell>
        </row>
        <row r="18">
          <cell r="D18">
            <v>1516090000</v>
          </cell>
        </row>
        <row r="19">
          <cell r="D19">
            <v>885794000</v>
          </cell>
        </row>
        <row r="20">
          <cell r="D20">
            <v>360718000</v>
          </cell>
        </row>
        <row r="21">
          <cell r="D21">
            <v>9326</v>
          </cell>
        </row>
        <row r="22">
          <cell r="D22">
            <v>3172</v>
          </cell>
        </row>
        <row r="23">
          <cell r="D23">
            <v>611</v>
          </cell>
        </row>
        <row r="24">
          <cell r="D24">
            <v>6154</v>
          </cell>
        </row>
        <row r="25">
          <cell r="D25">
            <v>-1705740</v>
          </cell>
        </row>
        <row r="26">
          <cell r="D26">
            <v>-553550</v>
          </cell>
        </row>
        <row r="27">
          <cell r="D27">
            <v>-321706</v>
          </cell>
        </row>
        <row r="28">
          <cell r="D28">
            <v>-1152190</v>
          </cell>
        </row>
      </sheetData>
      <sheetData sheetId="3">
        <row r="8">
          <cell r="B8">
            <v>2021907</v>
          </cell>
          <cell r="C8">
            <v>1315561319</v>
          </cell>
        </row>
        <row r="18">
          <cell r="C18">
            <v>513397621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 count total"/>
      <sheetName val="emp by hh cat"/>
    </sheetNames>
    <sheetDataSet>
      <sheetData sheetId="0">
        <row r="8">
          <cell r="B8">
            <v>781664</v>
          </cell>
        </row>
        <row r="9">
          <cell r="B9">
            <v>1300222</v>
          </cell>
        </row>
        <row r="10">
          <cell r="B10">
            <v>5364684</v>
          </cell>
        </row>
      </sheetData>
      <sheetData sheetId="1">
        <row r="11">
          <cell r="B11">
            <v>10245792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3CF0-BE69-42B1-A6B0-06FDA7069CFB}">
  <dimension ref="A1:I27"/>
  <sheetViews>
    <sheetView tabSelected="1" zoomScaleNormal="100" workbookViewId="0"/>
  </sheetViews>
  <sheetFormatPr defaultColWidth="9.140625" defaultRowHeight="12.75" x14ac:dyDescent="0.2"/>
  <cols>
    <col min="1" max="1" width="41.28515625" style="1" customWidth="1"/>
    <col min="2" max="2" width="15.7109375" style="17" customWidth="1"/>
    <col min="3" max="3" width="10.85546875" style="17" customWidth="1"/>
    <col min="4" max="4" width="15.140625" style="17" customWidth="1"/>
    <col min="5" max="5" width="10.140625" style="17" customWidth="1"/>
    <col min="6" max="6" width="14" style="17" customWidth="1"/>
    <col min="7" max="7" width="14.140625" style="17" customWidth="1"/>
    <col min="8" max="8" width="15.85546875" style="17" customWidth="1"/>
    <col min="9" max="9" width="13.85546875" style="17" customWidth="1"/>
    <col min="10" max="16384" width="9.140625" style="1"/>
  </cols>
  <sheetData>
    <row r="1" spans="1:9" x14ac:dyDescent="0.2">
      <c r="A1" s="6" t="s">
        <v>78</v>
      </c>
      <c r="B1" s="25"/>
    </row>
    <row r="2" spans="1:9" x14ac:dyDescent="0.2">
      <c r="A2" s="6" t="s">
        <v>139</v>
      </c>
      <c r="B2" s="25"/>
    </row>
    <row r="3" spans="1:9" x14ac:dyDescent="0.2">
      <c r="A3" s="30" t="s">
        <v>136</v>
      </c>
      <c r="B3" s="25"/>
    </row>
    <row r="4" spans="1:9" x14ac:dyDescent="0.2">
      <c r="A4" s="1" t="s">
        <v>112</v>
      </c>
      <c r="E4" s="72"/>
      <c r="F4" s="72"/>
      <c r="G4" s="72"/>
    </row>
    <row r="5" spans="1:9" ht="27.75" customHeight="1" thickBot="1" x14ac:dyDescent="0.25">
      <c r="E5" s="73" t="s">
        <v>137</v>
      </c>
      <c r="F5" s="73"/>
      <c r="G5" s="73"/>
      <c r="H5" s="73"/>
      <c r="I5" s="73"/>
    </row>
    <row r="6" spans="1:9" ht="39" thickBot="1" x14ac:dyDescent="0.25">
      <c r="A6" s="3"/>
      <c r="B6" s="18" t="s">
        <v>72</v>
      </c>
      <c r="C6" s="23" t="s">
        <v>71</v>
      </c>
      <c r="D6" s="23" t="s">
        <v>75</v>
      </c>
      <c r="E6" s="24" t="s">
        <v>70</v>
      </c>
      <c r="F6" s="23" t="s">
        <v>76</v>
      </c>
      <c r="G6" s="23" t="s">
        <v>73</v>
      </c>
      <c r="H6" s="23" t="s">
        <v>74</v>
      </c>
      <c r="I6" s="23" t="s">
        <v>77</v>
      </c>
    </row>
    <row r="7" spans="1:9" ht="15" x14ac:dyDescent="0.2">
      <c r="A7" s="1" t="s">
        <v>65</v>
      </c>
      <c r="B7" s="31">
        <f>'[1]ATTIS Summary Tables'!$J$615/1000</f>
        <v>18879.900000000001</v>
      </c>
      <c r="C7" s="31">
        <f>'[2]SPM poverty tables'!$E$615/1000</f>
        <v>2556.8000000000002</v>
      </c>
      <c r="D7" s="26">
        <f>C7/$B7</f>
        <v>0.13542444610405777</v>
      </c>
      <c r="E7" s="31">
        <f>'[3]SPM tables'!$E$615/1000</f>
        <v>2413.7199999999998</v>
      </c>
      <c r="F7" s="32">
        <f>E7/$B7</f>
        <v>0.12784601613356</v>
      </c>
      <c r="G7" s="28">
        <f>E7-C7</f>
        <v>-143.08000000000038</v>
      </c>
      <c r="H7" s="33">
        <f>ROUND((F7-D7)*100,2)</f>
        <v>-0.76</v>
      </c>
      <c r="I7" s="26">
        <f>(E7-C7)/C7</f>
        <v>-5.5960575719649706E-2</v>
      </c>
    </row>
    <row r="8" spans="1:9" x14ac:dyDescent="0.2">
      <c r="A8" s="12" t="s">
        <v>19</v>
      </c>
      <c r="B8" s="34"/>
      <c r="C8" s="34"/>
      <c r="E8" s="34"/>
      <c r="H8" s="35"/>
      <c r="I8" s="26"/>
    </row>
    <row r="9" spans="1:9" x14ac:dyDescent="0.2">
      <c r="A9" s="5" t="s">
        <v>55</v>
      </c>
      <c r="B9" s="36">
        <f>'[1]ATTIS Summary Tables'!$J$839/1000</f>
        <v>3993.93</v>
      </c>
      <c r="C9" s="36">
        <f>'[2]SPM poverty tables'!$E$839/1000</f>
        <v>556.33500000000004</v>
      </c>
      <c r="D9" s="26">
        <f t="shared" ref="D9:D12" si="0">C9/$B9</f>
        <v>0.13929513036032179</v>
      </c>
      <c r="E9" s="36">
        <f>'[3]SPM tables'!$E$839/1000</f>
        <v>487.10199999999998</v>
      </c>
      <c r="F9" s="32">
        <f t="shared" ref="F9:F12" si="1">E9/$B9</f>
        <v>0.12196057517282476</v>
      </c>
      <c r="G9" s="28">
        <f>E9-C9</f>
        <v>-69.233000000000061</v>
      </c>
      <c r="H9" s="33">
        <f t="shared" ref="H9:H12" si="2">ROUND((F9-D9)*100,2)</f>
        <v>-1.73</v>
      </c>
      <c r="I9" s="26">
        <f t="shared" ref="I9:I12" si="3">(E9-C9)/C9</f>
        <v>-0.12444480394007218</v>
      </c>
    </row>
    <row r="10" spans="1:9" x14ac:dyDescent="0.2">
      <c r="A10" s="13" t="s">
        <v>56</v>
      </c>
      <c r="B10" s="36">
        <f>SUM('[1]ATTIS Summary Tables'!$J$857:$J$858)/1000</f>
        <v>1108.269</v>
      </c>
      <c r="C10" s="36">
        <f>SUM('[2]SPM poverty tables'!$E$857:$E$858)/1000</f>
        <v>168.679</v>
      </c>
      <c r="D10" s="26">
        <f t="shared" si="0"/>
        <v>0.15220041343753185</v>
      </c>
      <c r="E10" s="36">
        <f>SUM('[3]SPM tables'!$E$857:$E$858)/1000</f>
        <v>142.542</v>
      </c>
      <c r="F10" s="32">
        <f t="shared" si="1"/>
        <v>0.12861678888428713</v>
      </c>
      <c r="G10" s="28">
        <f t="shared" ref="G10:G21" si="4">E10-C10</f>
        <v>-26.137</v>
      </c>
      <c r="H10" s="33">
        <f t="shared" si="2"/>
        <v>-2.36</v>
      </c>
      <c r="I10" s="26">
        <f t="shared" si="3"/>
        <v>-0.15495112017500698</v>
      </c>
    </row>
    <row r="11" spans="1:9" x14ac:dyDescent="0.2">
      <c r="A11" s="13" t="s">
        <v>57</v>
      </c>
      <c r="B11" s="36">
        <f>SUM('[1]ATTIS Summary Tables'!$J$859:$J$860)/1000</f>
        <v>2885.67</v>
      </c>
      <c r="C11" s="36">
        <f>SUM('[2]SPM poverty tables'!$E$859:$E$860)/1000</f>
        <v>387.65600000000001</v>
      </c>
      <c r="D11" s="26">
        <f t="shared" si="0"/>
        <v>0.13433829925112711</v>
      </c>
      <c r="E11" s="36">
        <f>SUM('[3]SPM tables'!$E$859:$E$860)/1000</f>
        <v>344.56</v>
      </c>
      <c r="F11" s="32">
        <f t="shared" si="1"/>
        <v>0.11940381263276813</v>
      </c>
      <c r="G11" s="28">
        <f t="shared" si="4"/>
        <v>-43.096000000000004</v>
      </c>
      <c r="H11" s="33">
        <f t="shared" si="2"/>
        <v>-1.49</v>
      </c>
      <c r="I11" s="26">
        <f t="shared" si="3"/>
        <v>-0.11117072868728976</v>
      </c>
    </row>
    <row r="12" spans="1:9" x14ac:dyDescent="0.2">
      <c r="A12" s="5" t="s">
        <v>58</v>
      </c>
      <c r="B12" s="36">
        <f>SUM('[1]ATTIS Summary Tables'!$J$634:$J$637)/1000</f>
        <v>14885.93</v>
      </c>
      <c r="C12" s="36">
        <f>SUM('[2]SPM poverty tables'!$E$634:$E$637)/1000</f>
        <v>2000.4680000000001</v>
      </c>
      <c r="D12" s="26">
        <f t="shared" si="0"/>
        <v>0.13438649785401383</v>
      </c>
      <c r="E12" s="36">
        <f>SUM('[3]SPM tables'!$E$634:$E$637)/1000</f>
        <v>1926.614</v>
      </c>
      <c r="F12" s="32">
        <f t="shared" si="1"/>
        <v>0.12942516859880437</v>
      </c>
      <c r="G12" s="28">
        <f t="shared" si="4"/>
        <v>-73.854000000000042</v>
      </c>
      <c r="H12" s="33">
        <f t="shared" si="2"/>
        <v>-0.5</v>
      </c>
      <c r="I12" s="26">
        <f t="shared" si="3"/>
        <v>-3.6918361103501801E-2</v>
      </c>
    </row>
    <row r="13" spans="1:9" ht="15" x14ac:dyDescent="0.2">
      <c r="A13" s="12" t="s">
        <v>59</v>
      </c>
      <c r="B13" s="34"/>
      <c r="C13" s="34"/>
      <c r="E13" s="34"/>
      <c r="F13" s="32"/>
      <c r="H13" s="35"/>
      <c r="I13" s="26"/>
    </row>
    <row r="14" spans="1:9" x14ac:dyDescent="0.2">
      <c r="A14" s="5" t="s">
        <v>23</v>
      </c>
      <c r="B14" s="36">
        <f>'[1]ATTIS Summary Tables'!$J$619/1000</f>
        <v>1627.8</v>
      </c>
      <c r="C14" s="36">
        <f>'[2]SPM poverty tables'!$E$619/1000</f>
        <v>344.77100000000002</v>
      </c>
      <c r="D14" s="26">
        <f t="shared" ref="D14:D18" si="5">C14/$B14</f>
        <v>0.21180181840520951</v>
      </c>
      <c r="E14" s="36">
        <f>'[3]SPM tables'!$E$619/1000</f>
        <v>319.923</v>
      </c>
      <c r="F14" s="32">
        <f t="shared" ref="F14:F18" si="6">E14/$B14</f>
        <v>0.19653704386288243</v>
      </c>
      <c r="G14" s="28">
        <f t="shared" si="4"/>
        <v>-24.848000000000013</v>
      </c>
      <c r="H14" s="33">
        <f t="shared" ref="H14:H18" si="7">ROUND((F14-D14)*100,2)</f>
        <v>-1.53</v>
      </c>
      <c r="I14" s="26">
        <f t="shared" ref="I14:I18" si="8">(E14-C14)/C14</f>
        <v>-7.2071026855507023E-2</v>
      </c>
    </row>
    <row r="15" spans="1:9" x14ac:dyDescent="0.2">
      <c r="A15" s="5" t="s">
        <v>22</v>
      </c>
      <c r="B15" s="36">
        <f>'[1]ATTIS Summary Tables'!$J$618/1000</f>
        <v>2625.71</v>
      </c>
      <c r="C15" s="36">
        <f>'[2]SPM poverty tables'!$E$618/1000</f>
        <v>447.202</v>
      </c>
      <c r="D15" s="26">
        <f t="shared" si="5"/>
        <v>0.17031660008150176</v>
      </c>
      <c r="E15" s="36">
        <f>'[3]SPM tables'!$E$618/1000</f>
        <v>424.89100000000002</v>
      </c>
      <c r="F15" s="32">
        <f t="shared" si="6"/>
        <v>0.16181946978150671</v>
      </c>
      <c r="G15" s="28">
        <f t="shared" si="4"/>
        <v>-22.310999999999979</v>
      </c>
      <c r="H15" s="33">
        <f t="shared" si="7"/>
        <v>-0.85</v>
      </c>
      <c r="I15" s="26">
        <f t="shared" si="8"/>
        <v>-4.9890206215535658E-2</v>
      </c>
    </row>
    <row r="16" spans="1:9" x14ac:dyDescent="0.2">
      <c r="A16" s="5" t="s">
        <v>24</v>
      </c>
      <c r="B16" s="36">
        <f>'[1]ATTIS Summary Tables'!$J$620/1000</f>
        <v>3645.79</v>
      </c>
      <c r="C16" s="36">
        <f>'[2]SPM poverty tables'!$E$620/1000</f>
        <v>720.529</v>
      </c>
      <c r="D16" s="26">
        <f t="shared" si="5"/>
        <v>0.1976331604398498</v>
      </c>
      <c r="E16" s="36">
        <f>'[3]SPM tables'!$E$620/1000</f>
        <v>670.62400000000002</v>
      </c>
      <c r="F16" s="32">
        <f t="shared" si="6"/>
        <v>0.18394476917211361</v>
      </c>
      <c r="G16" s="28">
        <f t="shared" si="4"/>
        <v>-49.904999999999973</v>
      </c>
      <c r="H16" s="33">
        <f t="shared" si="7"/>
        <v>-1.37</v>
      </c>
      <c r="I16" s="26">
        <f t="shared" si="8"/>
        <v>-6.9261611954550023E-2</v>
      </c>
    </row>
    <row r="17" spans="1:9" x14ac:dyDescent="0.2">
      <c r="A17" s="5" t="s">
        <v>25</v>
      </c>
      <c r="B17" s="36">
        <f>'[1]ATTIS Summary Tables'!$J$617/1000</f>
        <v>10430.799999999999</v>
      </c>
      <c r="C17" s="36">
        <f>'[2]SPM poverty tables'!$E$617/1000</f>
        <v>951.55799999999999</v>
      </c>
      <c r="D17" s="26">
        <f t="shared" si="5"/>
        <v>9.1225792844268905E-2</v>
      </c>
      <c r="E17" s="36">
        <f>'[3]SPM tables'!$E$617/1000</f>
        <v>908.11699999999996</v>
      </c>
      <c r="F17" s="32">
        <f t="shared" si="6"/>
        <v>8.7061107489358441E-2</v>
      </c>
      <c r="G17" s="28">
        <f t="shared" si="4"/>
        <v>-43.441000000000031</v>
      </c>
      <c r="H17" s="33">
        <f t="shared" si="7"/>
        <v>-0.42</v>
      </c>
      <c r="I17" s="26">
        <f t="shared" si="8"/>
        <v>-4.5652498323801631E-2</v>
      </c>
    </row>
    <row r="18" spans="1:9" x14ac:dyDescent="0.2">
      <c r="A18" s="5" t="s">
        <v>60</v>
      </c>
      <c r="B18" s="36">
        <f>'[1]ATTIS Summary Tables'!$J$621/1000</f>
        <v>549.71500000000003</v>
      </c>
      <c r="C18" s="36">
        <f>'[2]SPM poverty tables'!$E$621/1000</f>
        <v>92.742999999999995</v>
      </c>
      <c r="D18" s="26">
        <f t="shared" si="5"/>
        <v>0.16871105936712658</v>
      </c>
      <c r="E18" s="36">
        <f>'[3]SPM tables'!$E$621/1000</f>
        <v>90.161000000000001</v>
      </c>
      <c r="F18" s="32">
        <f t="shared" si="6"/>
        <v>0.1640140800232848</v>
      </c>
      <c r="G18" s="28">
        <f t="shared" si="4"/>
        <v>-2.5819999999999936</v>
      </c>
      <c r="H18" s="33">
        <f t="shared" si="7"/>
        <v>-0.47</v>
      </c>
      <c r="I18" s="26">
        <f t="shared" si="8"/>
        <v>-2.7840376093074343E-2</v>
      </c>
    </row>
    <row r="19" spans="1:9" x14ac:dyDescent="0.2">
      <c r="A19" s="12" t="s">
        <v>27</v>
      </c>
      <c r="B19" s="34"/>
      <c r="C19" s="34"/>
      <c r="E19" s="34"/>
      <c r="F19" s="32"/>
      <c r="H19" s="35"/>
      <c r="I19" s="26"/>
    </row>
    <row r="20" spans="1:9" x14ac:dyDescent="0.2">
      <c r="A20" s="5" t="s">
        <v>29</v>
      </c>
      <c r="B20" s="36">
        <f>'[1]ATTIS Summary Tables'!$H$2024/1000</f>
        <v>8135.46</v>
      </c>
      <c r="C20" s="36">
        <f>'[2]SPM poverty tables'!$D$2024/1000</f>
        <v>1517.62</v>
      </c>
      <c r="D20" s="37">
        <f t="shared" ref="D20:D21" si="9">C20/$B20</f>
        <v>0.18654384632215018</v>
      </c>
      <c r="E20" s="36">
        <f>'[3]SPM tables'!$D$2024/1000</f>
        <v>1411.45</v>
      </c>
      <c r="F20" s="32">
        <f t="shared" ref="F20:F21" si="10">E20/$B20</f>
        <v>0.17349357012387745</v>
      </c>
      <c r="G20" s="28">
        <f t="shared" si="4"/>
        <v>-106.16999999999985</v>
      </c>
      <c r="H20" s="38">
        <f t="shared" ref="H20:H21" si="11">ROUND((F20-D20)*100,2)</f>
        <v>-1.31</v>
      </c>
      <c r="I20" s="32">
        <f t="shared" ref="I20:I21" si="12">(E20-C20)/C20</f>
        <v>-6.9958224061359139E-2</v>
      </c>
    </row>
    <row r="21" spans="1:9" ht="13.5" thickBot="1" x14ac:dyDescent="0.25">
      <c r="A21" s="14" t="s">
        <v>61</v>
      </c>
      <c r="B21" s="39">
        <f>('[1]ATTIS Summary Tables'!$H$2044-'[1]ATTIS Summary Tables'!$H$2024)/1000</f>
        <v>10744.44</v>
      </c>
      <c r="C21" s="39">
        <f>('[2]SPM poverty tables'!$D$2044-'[2]SPM poverty tables'!$D$2024)/1000</f>
        <v>1039.18</v>
      </c>
      <c r="D21" s="40">
        <f t="shared" si="9"/>
        <v>9.6717930390043602E-2</v>
      </c>
      <c r="E21" s="39">
        <f>('[3]SPM tables'!$D$2044-'[3]SPM tables'!$D$2024)/1000</f>
        <v>1002.27</v>
      </c>
      <c r="F21" s="41">
        <f t="shared" si="10"/>
        <v>9.3282665266872913E-2</v>
      </c>
      <c r="G21" s="42">
        <f t="shared" si="4"/>
        <v>-36.910000000000082</v>
      </c>
      <c r="H21" s="43">
        <f t="shared" si="11"/>
        <v>-0.34</v>
      </c>
      <c r="I21" s="41">
        <f t="shared" si="12"/>
        <v>-3.5518389499413078E-2</v>
      </c>
    </row>
    <row r="22" spans="1:9" ht="15" customHeight="1" x14ac:dyDescent="0.2">
      <c r="A22" s="74" t="s">
        <v>86</v>
      </c>
      <c r="B22" s="74"/>
      <c r="C22" s="74"/>
      <c r="D22" s="74"/>
      <c r="E22" s="74"/>
      <c r="F22" s="74"/>
      <c r="G22" s="74"/>
      <c r="H22" s="74"/>
      <c r="I22" s="74"/>
    </row>
    <row r="23" spans="1:9" ht="41.25" customHeight="1" x14ac:dyDescent="0.2">
      <c r="A23" s="75" t="s">
        <v>62</v>
      </c>
      <c r="B23" s="75"/>
      <c r="C23" s="75"/>
      <c r="D23" s="75"/>
      <c r="E23" s="75"/>
      <c r="F23" s="75"/>
      <c r="G23" s="75"/>
      <c r="H23" s="75"/>
      <c r="I23" s="75"/>
    </row>
    <row r="24" spans="1:9" x14ac:dyDescent="0.2">
      <c r="E24" s="28"/>
    </row>
    <row r="25" spans="1:9" x14ac:dyDescent="0.2">
      <c r="B25" s="28"/>
      <c r="C25" s="28"/>
      <c r="E25" s="28"/>
    </row>
    <row r="27" spans="1:9" x14ac:dyDescent="0.2">
      <c r="B27" s="28"/>
    </row>
  </sheetData>
  <mergeCells count="4">
    <mergeCell ref="E4:G4"/>
    <mergeCell ref="E5:I5"/>
    <mergeCell ref="A22:I22"/>
    <mergeCell ref="A23:I23"/>
  </mergeCells>
  <pageMargins left="0.7" right="0.7" top="0.75" bottom="0.75" header="0.3" footer="0.3"/>
  <pageSetup orientation="portrait" horizontalDpi="300" verticalDpi="300" r:id="rId1"/>
  <ignoredErrors>
    <ignoredError sqref="E13 E1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D31CE-37A4-44DE-89D1-EF542D702957}">
  <dimension ref="A1:J51"/>
  <sheetViews>
    <sheetView zoomScaleNormal="100" workbookViewId="0">
      <selection activeCell="E5" sqref="E5:I5"/>
    </sheetView>
  </sheetViews>
  <sheetFormatPr defaultColWidth="9.140625" defaultRowHeight="12.75" x14ac:dyDescent="0.2"/>
  <cols>
    <col min="1" max="1" width="49.85546875" style="1" customWidth="1"/>
    <col min="2" max="2" width="10.42578125" style="17" customWidth="1"/>
    <col min="3" max="3" width="10.85546875" style="17" customWidth="1"/>
    <col min="4" max="4" width="15.140625" style="17" customWidth="1"/>
    <col min="5" max="5" width="10.140625" style="17" customWidth="1"/>
    <col min="6" max="6" width="14" style="17" customWidth="1"/>
    <col min="7" max="7" width="14.140625" style="17" customWidth="1"/>
    <col min="8" max="8" width="15.85546875" style="17" customWidth="1"/>
    <col min="9" max="9" width="13.85546875" style="17" customWidth="1"/>
    <col min="10" max="16384" width="9.140625" style="1"/>
  </cols>
  <sheetData>
    <row r="1" spans="1:9" x14ac:dyDescent="0.2">
      <c r="A1" s="6" t="s">
        <v>30</v>
      </c>
      <c r="B1" s="25" t="s">
        <v>63</v>
      </c>
    </row>
    <row r="2" spans="1:9" x14ac:dyDescent="0.2">
      <c r="A2" s="6" t="s">
        <v>140</v>
      </c>
      <c r="B2" s="25"/>
    </row>
    <row r="3" spans="1:9" x14ac:dyDescent="0.2">
      <c r="A3" s="70" t="s">
        <v>136</v>
      </c>
      <c r="B3" s="25"/>
    </row>
    <row r="4" spans="1:9" x14ac:dyDescent="0.2">
      <c r="A4" s="1" t="s">
        <v>112</v>
      </c>
      <c r="E4" s="72"/>
      <c r="F4" s="72"/>
      <c r="G4" s="72"/>
    </row>
    <row r="5" spans="1:9" ht="31.5" customHeight="1" thickBot="1" x14ac:dyDescent="0.25">
      <c r="E5" s="73" t="s">
        <v>137</v>
      </c>
      <c r="F5" s="73"/>
      <c r="G5" s="73"/>
      <c r="H5" s="73"/>
      <c r="I5" s="73"/>
    </row>
    <row r="6" spans="1:9" ht="51.75" customHeight="1" thickBot="1" x14ac:dyDescent="0.25">
      <c r="A6" s="3"/>
      <c r="B6" s="18" t="s">
        <v>72</v>
      </c>
      <c r="C6" s="23" t="s">
        <v>100</v>
      </c>
      <c r="D6" s="23" t="s">
        <v>99</v>
      </c>
      <c r="E6" s="24" t="s">
        <v>101</v>
      </c>
      <c r="F6" s="23" t="s">
        <v>98</v>
      </c>
      <c r="G6" s="23" t="s">
        <v>73</v>
      </c>
      <c r="H6" s="23" t="s">
        <v>74</v>
      </c>
      <c r="I6" s="23" t="s">
        <v>77</v>
      </c>
    </row>
    <row r="7" spans="1:9" ht="15" x14ac:dyDescent="0.2">
      <c r="A7" s="1" t="s">
        <v>65</v>
      </c>
      <c r="B7" s="44">
        <f>'[1]ATTIS Summary Tables'!$J$615/1000</f>
        <v>18879.900000000001</v>
      </c>
      <c r="C7" s="31"/>
      <c r="D7" s="26"/>
      <c r="E7" s="31"/>
      <c r="F7" s="32"/>
      <c r="G7" s="28"/>
      <c r="H7" s="45"/>
      <c r="I7" s="26"/>
    </row>
    <row r="8" spans="1:9" ht="15" x14ac:dyDescent="0.2">
      <c r="A8" s="12" t="s">
        <v>93</v>
      </c>
      <c r="B8" s="46"/>
      <c r="C8" s="34"/>
      <c r="D8" s="26"/>
      <c r="E8" s="34"/>
      <c r="G8" s="28"/>
      <c r="H8" s="35"/>
      <c r="I8" s="26"/>
    </row>
    <row r="9" spans="1:9" x14ac:dyDescent="0.2">
      <c r="A9" s="5" t="s">
        <v>1</v>
      </c>
      <c r="B9" s="47"/>
      <c r="C9" s="36">
        <f>'[2]SPM poverty tables'!$D$615/1000</f>
        <v>667.553</v>
      </c>
      <c r="D9" s="26">
        <f>C9/$B$7</f>
        <v>3.5357867361585596E-2</v>
      </c>
      <c r="E9" s="36">
        <f>'[3]SPM tables'!$D$615/1000</f>
        <v>648.048</v>
      </c>
      <c r="F9" s="26">
        <f>E9/$B$7</f>
        <v>3.4324758076049129E-2</v>
      </c>
      <c r="G9" s="28">
        <f>E9-C9</f>
        <v>-19.504999999999995</v>
      </c>
      <c r="H9" s="33">
        <f>ROUND((F9-D9)*100,2)</f>
        <v>-0.1</v>
      </c>
      <c r="I9" s="26">
        <f>(E9-C9)/C9</f>
        <v>-2.9218653799773196E-2</v>
      </c>
    </row>
    <row r="10" spans="1:9" x14ac:dyDescent="0.2">
      <c r="A10" s="5" t="s">
        <v>2</v>
      </c>
      <c r="B10" s="47"/>
      <c r="C10" s="36">
        <f>'[2]SPM poverty tables'!$E$615/1000</f>
        <v>2556.8000000000002</v>
      </c>
      <c r="D10" s="26">
        <f t="shared" ref="D10:D12" si="0">C10/$B$7</f>
        <v>0.13542444610405777</v>
      </c>
      <c r="E10" s="36">
        <f>'[3]SPM tables'!$E$615/1000</f>
        <v>2413.7199999999998</v>
      </c>
      <c r="F10" s="26">
        <f t="shared" ref="F10" si="1">E10/$B$7</f>
        <v>0.12784601613356</v>
      </c>
      <c r="G10" s="28">
        <f t="shared" ref="G10:G45" si="2">E10-C10</f>
        <v>-143.08000000000038</v>
      </c>
      <c r="H10" s="33">
        <f t="shared" ref="H10:H12" si="3">ROUND((F10-D10)*100,2)</f>
        <v>-0.76</v>
      </c>
      <c r="I10" s="26">
        <f t="shared" ref="I10:I12" si="4">(E10-C10)/C10</f>
        <v>-5.5960575719649706E-2</v>
      </c>
    </row>
    <row r="11" spans="1:9" x14ac:dyDescent="0.2">
      <c r="A11" s="5" t="s">
        <v>3</v>
      </c>
      <c r="B11" s="47"/>
      <c r="C11" s="36">
        <f>'[2]SPM poverty tables'!$F$615/1000</f>
        <v>5822.72</v>
      </c>
      <c r="D11" s="26">
        <f t="shared" si="0"/>
        <v>0.30840841318015455</v>
      </c>
      <c r="E11" s="36">
        <f>'[3]SPM tables'!$F$615/1000</f>
        <v>5676.84</v>
      </c>
      <c r="F11" s="26">
        <f t="shared" ref="F11" si="5">E11/$B$7</f>
        <v>0.30068167733939266</v>
      </c>
      <c r="G11" s="28">
        <f t="shared" si="2"/>
        <v>-145.88000000000011</v>
      </c>
      <c r="H11" s="33">
        <f t="shared" si="3"/>
        <v>-0.77</v>
      </c>
      <c r="I11" s="26">
        <f t="shared" si="4"/>
        <v>-2.5053583205100038E-2</v>
      </c>
    </row>
    <row r="12" spans="1:9" x14ac:dyDescent="0.2">
      <c r="A12" s="5" t="s">
        <v>4</v>
      </c>
      <c r="B12" s="47"/>
      <c r="C12" s="36">
        <f>'[2]SPM poverty tables'!$G$615/1000</f>
        <v>8271.4599999999991</v>
      </c>
      <c r="D12" s="26">
        <f t="shared" si="0"/>
        <v>0.43810931201966102</v>
      </c>
      <c r="E12" s="36">
        <f>'[3]SPM tables'!$G$615/1000</f>
        <v>8205.2199999999993</v>
      </c>
      <c r="F12" s="26">
        <f t="shared" ref="F12" si="6">E12/$B$7</f>
        <v>0.4346008188602693</v>
      </c>
      <c r="G12" s="28">
        <f t="shared" si="2"/>
        <v>-66.239999999999782</v>
      </c>
      <c r="H12" s="33">
        <f t="shared" si="3"/>
        <v>-0.35</v>
      </c>
      <c r="I12" s="26">
        <f t="shared" si="4"/>
        <v>-8.0082597268196654E-3</v>
      </c>
    </row>
    <row r="13" spans="1:9" x14ac:dyDescent="0.2">
      <c r="A13" s="12" t="s">
        <v>21</v>
      </c>
      <c r="B13" s="46"/>
      <c r="C13" s="34"/>
      <c r="D13" s="26"/>
      <c r="E13" s="34"/>
      <c r="F13" s="26"/>
      <c r="G13" s="28"/>
      <c r="H13" s="35"/>
      <c r="I13" s="26"/>
    </row>
    <row r="14" spans="1:9" x14ac:dyDescent="0.2">
      <c r="A14" s="5" t="s">
        <v>5</v>
      </c>
      <c r="B14" s="47">
        <f>'[1]ATTIS Summary Tables'!$J$633/1000</f>
        <v>3993.93</v>
      </c>
      <c r="C14" s="36"/>
      <c r="D14" s="26"/>
      <c r="E14" s="36"/>
      <c r="F14" s="26"/>
      <c r="G14" s="28"/>
      <c r="H14" s="45"/>
      <c r="I14" s="26"/>
    </row>
    <row r="15" spans="1:9" x14ac:dyDescent="0.2">
      <c r="A15" s="13" t="s">
        <v>1</v>
      </c>
      <c r="B15" s="47"/>
      <c r="C15" s="36">
        <f>'[2]SPM poverty tables'!$D$633/1000</f>
        <v>88.122</v>
      </c>
      <c r="D15" s="26">
        <f>C15/$B$14</f>
        <v>2.2063982092825864E-2</v>
      </c>
      <c r="E15" s="36">
        <f>'[3]SPM tables'!$D$633/1000</f>
        <v>80.77</v>
      </c>
      <c r="F15" s="26">
        <f>E15/$B$14</f>
        <v>2.0223188688835308E-2</v>
      </c>
      <c r="G15" s="28">
        <f t="shared" si="2"/>
        <v>-7.3520000000000039</v>
      </c>
      <c r="H15" s="33">
        <f>ROUND((F15-D15)*100,2)</f>
        <v>-0.18</v>
      </c>
      <c r="I15" s="26">
        <f t="shared" ref="I15:I18" si="7">(E15-C15)/C15</f>
        <v>-8.3429790517691421E-2</v>
      </c>
    </row>
    <row r="16" spans="1:9" x14ac:dyDescent="0.2">
      <c r="A16" s="13" t="s">
        <v>2</v>
      </c>
      <c r="B16" s="47"/>
      <c r="C16" s="36">
        <f>'[2]SPM poverty tables'!$E$633/1000</f>
        <v>556.33500000000004</v>
      </c>
      <c r="D16" s="26">
        <f t="shared" ref="D16:F18" si="8">C16/$B$14</f>
        <v>0.13929513036032179</v>
      </c>
      <c r="E16" s="36">
        <f>'[3]SPM tables'!$E$633/1000</f>
        <v>487.10199999999998</v>
      </c>
      <c r="F16" s="26">
        <f t="shared" si="8"/>
        <v>0.12196057517282476</v>
      </c>
      <c r="G16" s="28">
        <f t="shared" si="2"/>
        <v>-69.233000000000061</v>
      </c>
      <c r="H16" s="33">
        <f t="shared" ref="H16:H18" si="9">ROUND((F16-D16)*100,2)</f>
        <v>-1.73</v>
      </c>
      <c r="I16" s="26">
        <f t="shared" si="7"/>
        <v>-0.12444480394007218</v>
      </c>
    </row>
    <row r="17" spans="1:9" x14ac:dyDescent="0.2">
      <c r="A17" s="13" t="s">
        <v>3</v>
      </c>
      <c r="B17" s="47"/>
      <c r="C17" s="36">
        <f>'[2]SPM poverty tables'!$F$633/1000</f>
        <v>1472.79</v>
      </c>
      <c r="D17" s="26">
        <f t="shared" si="8"/>
        <v>0.36875708888237901</v>
      </c>
      <c r="E17" s="36">
        <f>'[3]SPM tables'!$F$633/1000</f>
        <v>1403.24</v>
      </c>
      <c r="F17" s="26">
        <f t="shared" si="8"/>
        <v>0.35134316325023224</v>
      </c>
      <c r="G17" s="28">
        <f t="shared" si="2"/>
        <v>-69.549999999999955</v>
      </c>
      <c r="H17" s="33">
        <f t="shared" si="9"/>
        <v>-1.74</v>
      </c>
      <c r="I17" s="26">
        <f t="shared" si="7"/>
        <v>-4.7223297279313382E-2</v>
      </c>
    </row>
    <row r="18" spans="1:9" x14ac:dyDescent="0.2">
      <c r="A18" s="13" t="s">
        <v>4</v>
      </c>
      <c r="B18" s="47"/>
      <c r="C18" s="36">
        <f>'[2]SPM poverty tables'!$G$633/1000</f>
        <v>2095.7800000000002</v>
      </c>
      <c r="D18" s="26">
        <f t="shared" si="8"/>
        <v>0.52474129491503363</v>
      </c>
      <c r="E18" s="36">
        <f>'[3]SPM tables'!$G$633/1000</f>
        <v>2070.2399999999998</v>
      </c>
      <c r="F18" s="26">
        <f t="shared" si="8"/>
        <v>0.51834659095176927</v>
      </c>
      <c r="G18" s="28">
        <f t="shared" si="2"/>
        <v>-25.540000000000418</v>
      </c>
      <c r="H18" s="33">
        <f t="shared" si="9"/>
        <v>-0.64</v>
      </c>
      <c r="I18" s="26">
        <f t="shared" si="7"/>
        <v>-1.2186393610016517E-2</v>
      </c>
    </row>
    <row r="19" spans="1:9" x14ac:dyDescent="0.2">
      <c r="A19" s="5" t="s">
        <v>64</v>
      </c>
      <c r="B19" s="47">
        <f>SUM('[1]ATTIS Summary Tables'!$J$857:$J$858)/1000</f>
        <v>1108.269</v>
      </c>
      <c r="C19" s="36"/>
      <c r="D19" s="26"/>
      <c r="E19" s="36"/>
      <c r="F19" s="26"/>
      <c r="G19" s="28"/>
      <c r="H19" s="45"/>
      <c r="I19" s="26"/>
    </row>
    <row r="20" spans="1:9" x14ac:dyDescent="0.2">
      <c r="A20" s="13" t="s">
        <v>1</v>
      </c>
      <c r="B20" s="47"/>
      <c r="C20" s="36">
        <f>SUM('[2]SPM poverty tables'!$D$857:$D$858)/1000</f>
        <v>25.547999999999998</v>
      </c>
      <c r="D20" s="26">
        <f>C20/$B$19</f>
        <v>2.3052165133194195E-2</v>
      </c>
      <c r="E20" s="36">
        <f>SUM('[3]SPM tables'!$D$857:$D$858)/1000</f>
        <v>21.78</v>
      </c>
      <c r="F20" s="26">
        <f>E20/$B$19</f>
        <v>1.9652268537692565E-2</v>
      </c>
      <c r="G20" s="28">
        <f t="shared" si="2"/>
        <v>-3.7679999999999971</v>
      </c>
      <c r="H20" s="33">
        <f>ROUND((F20-D20)*100,2)</f>
        <v>-0.34</v>
      </c>
      <c r="I20" s="26">
        <f t="shared" ref="I20:I23" si="10">(E20-C20)/C20</f>
        <v>-0.14748708313762318</v>
      </c>
    </row>
    <row r="21" spans="1:9" x14ac:dyDescent="0.2">
      <c r="A21" s="13" t="s">
        <v>2</v>
      </c>
      <c r="B21" s="47"/>
      <c r="C21" s="36">
        <f>SUM('[2]SPM poverty tables'!$E$857:$E$858)/1000</f>
        <v>168.679</v>
      </c>
      <c r="D21" s="26">
        <f t="shared" ref="D21:F23" si="11">C21/$B$19</f>
        <v>0.15220041343753185</v>
      </c>
      <c r="E21" s="36">
        <f>SUM('[3]SPM tables'!$E$857:$E$858)/1000</f>
        <v>142.542</v>
      </c>
      <c r="F21" s="26">
        <f t="shared" si="11"/>
        <v>0.12861678888428713</v>
      </c>
      <c r="G21" s="28">
        <f t="shared" si="2"/>
        <v>-26.137</v>
      </c>
      <c r="H21" s="33">
        <f t="shared" ref="H21:H23" si="12">ROUND((F21-D21)*100,2)</f>
        <v>-2.36</v>
      </c>
      <c r="I21" s="26">
        <f t="shared" si="10"/>
        <v>-0.15495112017500698</v>
      </c>
    </row>
    <row r="22" spans="1:9" x14ac:dyDescent="0.2">
      <c r="A22" s="13" t="s">
        <v>3</v>
      </c>
      <c r="B22" s="47"/>
      <c r="C22" s="36">
        <f>SUM('[2]SPM poverty tables'!$F$857:$F$858)/1000</f>
        <v>434.59199999999998</v>
      </c>
      <c r="D22" s="26">
        <f t="shared" si="11"/>
        <v>0.39213584427607373</v>
      </c>
      <c r="E22" s="36">
        <f>SUM('[3]SPM tables'!$F$857:$F$858)/1000</f>
        <v>408.53300000000002</v>
      </c>
      <c r="F22" s="26">
        <f t="shared" si="11"/>
        <v>0.36862259974789513</v>
      </c>
      <c r="G22" s="28">
        <f t="shared" si="2"/>
        <v>-26.058999999999969</v>
      </c>
      <c r="H22" s="33">
        <f t="shared" si="12"/>
        <v>-2.35</v>
      </c>
      <c r="I22" s="26">
        <f t="shared" si="10"/>
        <v>-5.9961987335247706E-2</v>
      </c>
    </row>
    <row r="23" spans="1:9" x14ac:dyDescent="0.2">
      <c r="A23" s="13" t="s">
        <v>4</v>
      </c>
      <c r="B23" s="47"/>
      <c r="C23" s="36">
        <f>SUM('[2]SPM poverty tables'!$G$857:$G$858)/1000</f>
        <v>606.17700000000002</v>
      </c>
      <c r="D23" s="26">
        <f t="shared" si="11"/>
        <v>0.54695836480132531</v>
      </c>
      <c r="E23" s="36">
        <f>SUM('[3]SPM tables'!$G$857:$G$858)/1000</f>
        <v>595.41899999999998</v>
      </c>
      <c r="F23" s="26">
        <f t="shared" si="11"/>
        <v>0.53725133519028323</v>
      </c>
      <c r="G23" s="28">
        <f t="shared" si="2"/>
        <v>-10.758000000000038</v>
      </c>
      <c r="H23" s="33">
        <f t="shared" si="12"/>
        <v>-0.97</v>
      </c>
      <c r="I23" s="26">
        <f t="shared" si="10"/>
        <v>-1.7747291632642014E-2</v>
      </c>
    </row>
    <row r="24" spans="1:9" x14ac:dyDescent="0.2">
      <c r="A24" s="5" t="s">
        <v>18</v>
      </c>
      <c r="B24" s="47">
        <f>SUM('[1]ATTIS Summary Tables'!$J$634:$J$637)/1000</f>
        <v>14885.93</v>
      </c>
      <c r="C24" s="36"/>
      <c r="D24" s="26"/>
      <c r="E24" s="36"/>
      <c r="F24" s="26"/>
      <c r="G24" s="28"/>
      <c r="H24" s="45"/>
      <c r="I24" s="26"/>
    </row>
    <row r="25" spans="1:9" x14ac:dyDescent="0.2">
      <c r="A25" s="13" t="s">
        <v>1</v>
      </c>
      <c r="B25" s="47"/>
      <c r="C25" s="36">
        <f>SUM('[2]SPM poverty tables'!$D$634:$D$637)/1000</f>
        <v>579.43100000000004</v>
      </c>
      <c r="D25" s="26">
        <f>C25/$B$24</f>
        <v>3.8924743029155724E-2</v>
      </c>
      <c r="E25" s="36">
        <f>SUM('[3]SPM tables'!$D$634:$D$637)/1000</f>
        <v>567.27800000000002</v>
      </c>
      <c r="F25" s="26">
        <f>E25/$B$24</f>
        <v>3.8108334514538225E-2</v>
      </c>
      <c r="G25" s="28">
        <f t="shared" si="2"/>
        <v>-12.15300000000002</v>
      </c>
      <c r="H25" s="33">
        <f>ROUND((F25-D25)*100,2)</f>
        <v>-0.08</v>
      </c>
      <c r="I25" s="26">
        <f t="shared" ref="I25:I27" si="13">(E25-C25)/C25</f>
        <v>-2.0974024517155656E-2</v>
      </c>
    </row>
    <row r="26" spans="1:9" x14ac:dyDescent="0.2">
      <c r="A26" s="13" t="s">
        <v>2</v>
      </c>
      <c r="B26" s="47"/>
      <c r="C26" s="36">
        <f>SUM('[2]SPM poverty tables'!$E$634:$E$637)/1000</f>
        <v>2000.4680000000001</v>
      </c>
      <c r="D26" s="26">
        <f t="shared" ref="D26:F28" si="14">C26/$B$24</f>
        <v>0.13438649785401383</v>
      </c>
      <c r="E26" s="36">
        <f>SUM('[3]SPM tables'!$E$634:$E$637)/1000</f>
        <v>1926.614</v>
      </c>
      <c r="F26" s="26">
        <f t="shared" si="14"/>
        <v>0.12942516859880437</v>
      </c>
      <c r="G26" s="28">
        <f t="shared" si="2"/>
        <v>-73.854000000000042</v>
      </c>
      <c r="H26" s="33">
        <f t="shared" ref="H26:H28" si="15">ROUND((F26-D26)*100,2)</f>
        <v>-0.5</v>
      </c>
      <c r="I26" s="26">
        <f t="shared" si="13"/>
        <v>-3.6918361103501801E-2</v>
      </c>
    </row>
    <row r="27" spans="1:9" x14ac:dyDescent="0.2">
      <c r="A27" s="13" t="s">
        <v>3</v>
      </c>
      <c r="B27" s="47"/>
      <c r="C27" s="36">
        <f>SUM('[2]SPM poverty tables'!$F$634:$F$637)/1000</f>
        <v>4349.9260000000004</v>
      </c>
      <c r="D27" s="26">
        <f t="shared" si="14"/>
        <v>0.29221728168814448</v>
      </c>
      <c r="E27" s="36">
        <f>SUM('[3]SPM tables'!$F$634:$F$637)/1000</f>
        <v>4273.598</v>
      </c>
      <c r="F27" s="26">
        <f t="shared" si="14"/>
        <v>0.28708975522523617</v>
      </c>
      <c r="G27" s="28">
        <f t="shared" si="2"/>
        <v>-76.328000000000429</v>
      </c>
      <c r="H27" s="33">
        <f t="shared" si="15"/>
        <v>-0.51</v>
      </c>
      <c r="I27" s="26">
        <f t="shared" si="13"/>
        <v>-1.7546965166763854E-2</v>
      </c>
    </row>
    <row r="28" spans="1:9" x14ac:dyDescent="0.2">
      <c r="A28" s="13" t="s">
        <v>4</v>
      </c>
      <c r="B28" s="47"/>
      <c r="C28" s="36">
        <f>SUM('[2]SPM poverty tables'!$G$634:$G$637)/1000</f>
        <v>6175.6729999999998</v>
      </c>
      <c r="D28" s="26">
        <f t="shared" si="14"/>
        <v>0.41486645443045883</v>
      </c>
      <c r="E28" s="36">
        <f>SUM('[3]SPM tables'!$G$634:$G$637)/1000</f>
        <v>6134.9809999999998</v>
      </c>
      <c r="F28" s="26">
        <f t="shared" si="14"/>
        <v>0.41213286640471908</v>
      </c>
      <c r="G28" s="28">
        <f t="shared" si="2"/>
        <v>-40.692000000000007</v>
      </c>
      <c r="H28" s="33">
        <f t="shared" si="15"/>
        <v>-0.27</v>
      </c>
      <c r="I28" s="26">
        <f>(E28-C28)/C28</f>
        <v>-6.5890794412204155E-3</v>
      </c>
    </row>
    <row r="29" spans="1:9" x14ac:dyDescent="0.2">
      <c r="A29" s="12" t="s">
        <v>26</v>
      </c>
      <c r="B29" s="46"/>
      <c r="C29" s="34"/>
      <c r="D29" s="26"/>
      <c r="E29" s="34"/>
      <c r="F29" s="26"/>
      <c r="G29" s="28"/>
      <c r="H29" s="35"/>
      <c r="I29" s="26"/>
    </row>
    <row r="30" spans="1:9" x14ac:dyDescent="0.2">
      <c r="A30" s="5" t="s">
        <v>6</v>
      </c>
      <c r="B30" s="47">
        <f>('[1]ATTIS Summary Tables'!$J$1033+'[1]ATTIS Summary Tables'!$J$1259)/1000</f>
        <v>10206.14</v>
      </c>
      <c r="C30" s="36"/>
      <c r="D30" s="26"/>
      <c r="E30" s="36"/>
      <c r="F30" s="26"/>
      <c r="G30" s="28"/>
      <c r="H30" s="33"/>
      <c r="I30" s="26"/>
    </row>
    <row r="31" spans="1:9" x14ac:dyDescent="0.2">
      <c r="A31" s="13" t="s">
        <v>1</v>
      </c>
      <c r="B31" s="47"/>
      <c r="C31" s="36">
        <f>('[2]SPM poverty tables'!$D$1033+'[2]SPM poverty tables'!$D$1259)/1000</f>
        <v>492.07299999999998</v>
      </c>
      <c r="D31" s="26">
        <f>C31/$B$30</f>
        <v>4.8213428387225726E-2</v>
      </c>
      <c r="E31" s="36">
        <f>('[3]SPM tables'!$D$1033+'[3]SPM tables'!$D$1259)/1000</f>
        <v>487.03500000000003</v>
      </c>
      <c r="F31" s="26">
        <f>E31/$B$30</f>
        <v>4.771980396114496E-2</v>
      </c>
      <c r="G31" s="28">
        <f t="shared" si="2"/>
        <v>-5.0379999999999541</v>
      </c>
      <c r="H31" s="33">
        <f t="shared" ref="H31:H34" si="16">ROUND((F31-D31)*100,2)</f>
        <v>-0.05</v>
      </c>
      <c r="I31" s="26">
        <f t="shared" ref="I31:I34" si="17">(E31-C31)/C31</f>
        <v>-1.0238318298301175E-2</v>
      </c>
    </row>
    <row r="32" spans="1:9" x14ac:dyDescent="0.2">
      <c r="A32" s="13" t="s">
        <v>2</v>
      </c>
      <c r="B32" s="47"/>
      <c r="C32" s="36">
        <f>('[2]SPM poverty tables'!$E$1033+'[2]SPM poverty tables'!$E$1259)/1000</f>
        <v>1437.4760000000001</v>
      </c>
      <c r="D32" s="26">
        <f t="shared" ref="D32:F34" si="18">C32/$B$30</f>
        <v>0.14084423690053244</v>
      </c>
      <c r="E32" s="36">
        <f>('[3]SPM tables'!$E$1033+'[3]SPM tables'!$E$1259)/1000</f>
        <v>1425.4849999999999</v>
      </c>
      <c r="F32" s="26">
        <f t="shared" si="18"/>
        <v>0.13966935589752835</v>
      </c>
      <c r="G32" s="28">
        <f t="shared" si="2"/>
        <v>-11.991000000000213</v>
      </c>
      <c r="H32" s="33">
        <f t="shared" si="16"/>
        <v>-0.12</v>
      </c>
      <c r="I32" s="26">
        <f t="shared" si="17"/>
        <v>-8.3417044875881141E-3</v>
      </c>
    </row>
    <row r="33" spans="1:10" x14ac:dyDescent="0.2">
      <c r="A33" s="13" t="s">
        <v>3</v>
      </c>
      <c r="B33" s="47"/>
      <c r="C33" s="36">
        <f>('[2]SPM poverty tables'!$F$1033+'[2]SPM poverty tables'!$F$1259)/1000</f>
        <v>2834.0740000000001</v>
      </c>
      <c r="D33" s="26">
        <f t="shared" si="18"/>
        <v>0.27768323773728365</v>
      </c>
      <c r="E33" s="36">
        <f>('[3]SPM tables'!$F$1033+'[3]SPM tables'!$F$1259)/1000</f>
        <v>2817.3989999999999</v>
      </c>
      <c r="F33" s="26">
        <f t="shared" si="18"/>
        <v>0.27604941731153992</v>
      </c>
      <c r="G33" s="28">
        <f t="shared" si="2"/>
        <v>-16.675000000000182</v>
      </c>
      <c r="H33" s="33">
        <f t="shared" si="16"/>
        <v>-0.16</v>
      </c>
      <c r="I33" s="26">
        <f t="shared" si="17"/>
        <v>-5.8837560345990194E-3</v>
      </c>
    </row>
    <row r="34" spans="1:10" x14ac:dyDescent="0.2">
      <c r="A34" s="13" t="s">
        <v>4</v>
      </c>
      <c r="B34" s="47"/>
      <c r="C34" s="36">
        <f>('[2]SPM poverty tables'!$G$1033+'[2]SPM poverty tables'!$G$1259)/1000</f>
        <v>3935.57</v>
      </c>
      <c r="D34" s="26">
        <f t="shared" si="18"/>
        <v>0.38560807513908296</v>
      </c>
      <c r="E34" s="36">
        <f>('[3]SPM tables'!$G$1033+'[3]SPM tables'!$G$1259)/1000</f>
        <v>3923.17</v>
      </c>
      <c r="F34" s="26">
        <f t="shared" si="18"/>
        <v>0.38439312021978927</v>
      </c>
      <c r="G34" s="28">
        <f t="shared" si="2"/>
        <v>-12.400000000000091</v>
      </c>
      <c r="H34" s="33">
        <f t="shared" si="16"/>
        <v>-0.12</v>
      </c>
      <c r="I34" s="26">
        <f t="shared" si="17"/>
        <v>-3.1507507171769505E-3</v>
      </c>
    </row>
    <row r="35" spans="1:10" x14ac:dyDescent="0.2">
      <c r="A35" s="12" t="s">
        <v>27</v>
      </c>
      <c r="B35" s="47"/>
      <c r="C35" s="34"/>
      <c r="D35" s="26"/>
      <c r="E35" s="36"/>
      <c r="F35" s="26"/>
      <c r="G35" s="28"/>
      <c r="H35" s="35"/>
      <c r="I35" s="26"/>
    </row>
    <row r="36" spans="1:10" x14ac:dyDescent="0.2">
      <c r="A36" s="5" t="s">
        <v>29</v>
      </c>
      <c r="B36" s="47">
        <f>'[1]ATTIS Summary Tables'!$H$2024/1000</f>
        <v>8135.46</v>
      </c>
      <c r="C36" s="36"/>
      <c r="D36" s="26"/>
      <c r="E36" s="36"/>
      <c r="F36" s="26"/>
      <c r="G36" s="28"/>
      <c r="H36" s="33"/>
      <c r="I36" s="26"/>
    </row>
    <row r="37" spans="1:10" x14ac:dyDescent="0.2">
      <c r="A37" s="13" t="s">
        <v>1</v>
      </c>
      <c r="B37" s="47"/>
      <c r="C37" s="36">
        <f>'[2]SPM poverty tables'!$C$2024/1000</f>
        <v>352.02100000000002</v>
      </c>
      <c r="D37" s="26">
        <f>C37/$B$36</f>
        <v>4.3269956462203739E-2</v>
      </c>
      <c r="E37" s="36">
        <f>'[3]SPM tables'!$C$2024/1000</f>
        <v>338.92500000000001</v>
      </c>
      <c r="F37" s="26">
        <f>E37/$B$36</f>
        <v>4.1660213435995012E-2</v>
      </c>
      <c r="G37" s="28">
        <f t="shared" si="2"/>
        <v>-13.096000000000004</v>
      </c>
      <c r="H37" s="33">
        <f t="shared" ref="H37:H40" si="19">ROUND((F37-D37)*100,2)</f>
        <v>-0.16</v>
      </c>
      <c r="I37" s="26">
        <f t="shared" ref="I37:I40" si="20">(E37-C37)/C37</f>
        <v>-3.7202325997596743E-2</v>
      </c>
      <c r="J37" s="19"/>
    </row>
    <row r="38" spans="1:10" x14ac:dyDescent="0.2">
      <c r="A38" s="13" t="s">
        <v>2</v>
      </c>
      <c r="B38" s="47"/>
      <c r="C38" s="36">
        <f>'[2]SPM poverty tables'!$D$2024/1000</f>
        <v>1517.62</v>
      </c>
      <c r="D38" s="26">
        <f t="shared" ref="D38:F40" si="21">C38/$B$36</f>
        <v>0.18654384632215018</v>
      </c>
      <c r="E38" s="36">
        <f>'[3]SPM tables'!$D$2024/1000</f>
        <v>1411.45</v>
      </c>
      <c r="F38" s="26">
        <f t="shared" si="21"/>
        <v>0.17349357012387745</v>
      </c>
      <c r="G38" s="28">
        <f t="shared" si="2"/>
        <v>-106.16999999999985</v>
      </c>
      <c r="H38" s="33">
        <f t="shared" si="19"/>
        <v>-1.31</v>
      </c>
      <c r="I38" s="26">
        <f t="shared" si="20"/>
        <v>-6.9958224061359139E-2</v>
      </c>
      <c r="J38" s="19"/>
    </row>
    <row r="39" spans="1:10" x14ac:dyDescent="0.2">
      <c r="A39" s="13" t="s">
        <v>3</v>
      </c>
      <c r="B39" s="47"/>
      <c r="C39" s="36">
        <f>'[2]SPM poverty tables'!$E$2024/1000</f>
        <v>3401.82</v>
      </c>
      <c r="D39" s="26">
        <f t="shared" si="21"/>
        <v>0.41814722216076289</v>
      </c>
      <c r="E39" s="36">
        <f>'[3]SPM tables'!$E$2024/1000</f>
        <v>3332.18</v>
      </c>
      <c r="F39" s="26">
        <f t="shared" si="21"/>
        <v>0.40958716532316547</v>
      </c>
      <c r="G39" s="28">
        <f t="shared" si="2"/>
        <v>-69.640000000000327</v>
      </c>
      <c r="H39" s="33">
        <f t="shared" si="19"/>
        <v>-0.86</v>
      </c>
      <c r="I39" s="26">
        <f t="shared" si="20"/>
        <v>-2.0471394724000776E-2</v>
      </c>
      <c r="J39" s="19"/>
    </row>
    <row r="40" spans="1:10" x14ac:dyDescent="0.2">
      <c r="A40" s="13" t="s">
        <v>4</v>
      </c>
      <c r="B40" s="47"/>
      <c r="C40" s="36">
        <f>'[2]SPM poverty tables'!$F$2024/1000</f>
        <v>4493.12</v>
      </c>
      <c r="D40" s="26">
        <f t="shared" si="21"/>
        <v>0.5522883770555076</v>
      </c>
      <c r="E40" s="36">
        <f>'[3]SPM tables'!$F$2024/1000</f>
        <v>4473.16</v>
      </c>
      <c r="F40" s="26">
        <f t="shared" si="21"/>
        <v>0.54983492021348512</v>
      </c>
      <c r="G40" s="28">
        <f t="shared" si="2"/>
        <v>-19.960000000000036</v>
      </c>
      <c r="H40" s="33">
        <f t="shared" si="19"/>
        <v>-0.25</v>
      </c>
      <c r="I40" s="26">
        <f t="shared" si="20"/>
        <v>-4.4423474111530597E-3</v>
      </c>
      <c r="J40" s="19"/>
    </row>
    <row r="41" spans="1:10" x14ac:dyDescent="0.2">
      <c r="A41" s="5" t="s">
        <v>28</v>
      </c>
      <c r="B41" s="47">
        <f>('[1]ATTIS Summary Tables'!$H$2044-'[1]ATTIS Summary Tables'!$H$2024)/1000</f>
        <v>10744.44</v>
      </c>
      <c r="C41" s="36"/>
      <c r="D41" s="26"/>
      <c r="E41" s="36"/>
      <c r="F41" s="26"/>
      <c r="G41" s="28"/>
      <c r="H41" s="45"/>
      <c r="I41" s="26"/>
    </row>
    <row r="42" spans="1:10" x14ac:dyDescent="0.2">
      <c r="A42" s="13" t="s">
        <v>1</v>
      </c>
      <c r="B42" s="47"/>
      <c r="C42" s="36">
        <f>('[2]SPM poverty tables'!$C$2044-'[2]SPM poverty tables'!$C$2024)/1000</f>
        <v>315.53199999999998</v>
      </c>
      <c r="D42" s="37">
        <f>C42/$B$41</f>
        <v>2.9367002840538916E-2</v>
      </c>
      <c r="E42" s="36">
        <f>('[3]SPM tables'!$C$2044-'[3]SPM tables'!$C$2024)/1000</f>
        <v>309.12299999999999</v>
      </c>
      <c r="F42" s="32">
        <f>E42/$B$41</f>
        <v>2.8770508281492566E-2</v>
      </c>
      <c r="G42" s="28">
        <f t="shared" si="2"/>
        <v>-6.4089999999999918</v>
      </c>
      <c r="H42" s="38">
        <f t="shared" ref="H42:H45" si="22">ROUND((F42-D42)*100,2)</f>
        <v>-0.06</v>
      </c>
      <c r="I42" s="26">
        <f t="shared" ref="I42:I45" si="23">(E42-C42)/C42</f>
        <v>-2.0311727495151023E-2</v>
      </c>
    </row>
    <row r="43" spans="1:10" x14ac:dyDescent="0.2">
      <c r="A43" s="13" t="s">
        <v>2</v>
      </c>
      <c r="B43" s="47"/>
      <c r="C43" s="36">
        <f>('[2]SPM poverty tables'!$D$2044-'[2]SPM poverty tables'!$D$2024)/1000</f>
        <v>1039.18</v>
      </c>
      <c r="D43" s="37">
        <f t="shared" ref="D43:F45" si="24">C43/$B$41</f>
        <v>9.6717930390043602E-2</v>
      </c>
      <c r="E43" s="36">
        <f>('[3]SPM tables'!$D$2044-'[3]SPM tables'!$D$2024)/1000</f>
        <v>1002.27</v>
      </c>
      <c r="F43" s="32">
        <f t="shared" si="24"/>
        <v>9.3282665266872913E-2</v>
      </c>
      <c r="G43" s="28">
        <f t="shared" si="2"/>
        <v>-36.910000000000082</v>
      </c>
      <c r="H43" s="38">
        <f>ROUND((F43-D43)*100,2)</f>
        <v>-0.34</v>
      </c>
      <c r="I43" s="26">
        <f t="shared" si="23"/>
        <v>-3.5518389499413078E-2</v>
      </c>
    </row>
    <row r="44" spans="1:10" x14ac:dyDescent="0.2">
      <c r="A44" s="13" t="s">
        <v>3</v>
      </c>
      <c r="B44" s="47"/>
      <c r="C44" s="36">
        <f>('[2]SPM poverty tables'!$E$2044-'[2]SPM poverty tables'!$E$2024)/1000</f>
        <v>2420.9</v>
      </c>
      <c r="D44" s="37">
        <f t="shared" si="24"/>
        <v>0.22531653580828781</v>
      </c>
      <c r="E44" s="36">
        <f>('[3]SPM tables'!$E$2044-'[3]SPM tables'!$E$2024)/1000</f>
        <v>2344.66</v>
      </c>
      <c r="F44" s="32">
        <f t="shared" si="24"/>
        <v>0.21822077279039204</v>
      </c>
      <c r="G44" s="28">
        <f t="shared" si="2"/>
        <v>-76.240000000000236</v>
      </c>
      <c r="H44" s="38">
        <f t="shared" si="22"/>
        <v>-0.71</v>
      </c>
      <c r="I44" s="26">
        <f t="shared" si="23"/>
        <v>-3.1492420174315437E-2</v>
      </c>
    </row>
    <row r="45" spans="1:10" ht="13.5" thickBot="1" x14ac:dyDescent="0.25">
      <c r="A45" s="16" t="s">
        <v>4</v>
      </c>
      <c r="B45" s="48"/>
      <c r="C45" s="36">
        <f>('[2]SPM poverty tables'!$F$2044-'[2]SPM poverty tables'!$F$2024)/1000</f>
        <v>3778.34</v>
      </c>
      <c r="D45" s="40">
        <f t="shared" si="24"/>
        <v>0.35165536779953166</v>
      </c>
      <c r="E45" s="39">
        <f>('[3]SPM tables'!$F$2044-'[3]SPM tables'!$F$2024)/1000</f>
        <v>3732.06</v>
      </c>
      <c r="F45" s="41">
        <f t="shared" si="24"/>
        <v>0.34734802372203666</v>
      </c>
      <c r="G45" s="28">
        <f t="shared" si="2"/>
        <v>-46.2800000000002</v>
      </c>
      <c r="H45" s="43">
        <f t="shared" si="22"/>
        <v>-0.43</v>
      </c>
      <c r="I45" s="26">
        <f t="shared" si="23"/>
        <v>-1.2248765330806703E-2</v>
      </c>
    </row>
    <row r="46" spans="1:10" ht="14.25" customHeight="1" x14ac:dyDescent="0.2">
      <c r="A46" s="76" t="s">
        <v>86</v>
      </c>
      <c r="B46" s="76"/>
      <c r="C46" s="76"/>
      <c r="D46" s="76"/>
      <c r="E46" s="76"/>
      <c r="F46" s="76"/>
      <c r="G46" s="76"/>
      <c r="H46" s="76"/>
      <c r="I46" s="76"/>
    </row>
    <row r="47" spans="1:10" ht="28.5" customHeight="1" x14ac:dyDescent="0.2">
      <c r="A47" s="77" t="s">
        <v>92</v>
      </c>
      <c r="B47" s="77"/>
      <c r="C47" s="77"/>
      <c r="D47" s="77"/>
      <c r="E47" s="77"/>
      <c r="F47" s="77"/>
      <c r="G47" s="77"/>
      <c r="H47" s="77"/>
      <c r="I47" s="77"/>
    </row>
    <row r="48" spans="1:10" x14ac:dyDescent="0.2">
      <c r="C48" s="28"/>
    </row>
    <row r="49" spans="3:3" x14ac:dyDescent="0.2">
      <c r="C49" s="28"/>
    </row>
    <row r="50" spans="3:3" x14ac:dyDescent="0.2">
      <c r="C50" s="28"/>
    </row>
    <row r="51" spans="3:3" x14ac:dyDescent="0.2">
      <c r="C51" s="28"/>
    </row>
  </sheetData>
  <mergeCells count="4">
    <mergeCell ref="E5:I5"/>
    <mergeCell ref="E4:G4"/>
    <mergeCell ref="A46:I46"/>
    <mergeCell ref="A47:I47"/>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B18DA-6FE4-4D76-B7A2-C2E22CC10B43}">
  <sheetPr>
    <pageSetUpPr fitToPage="1"/>
  </sheetPr>
  <dimension ref="A1:I62"/>
  <sheetViews>
    <sheetView zoomScaleNormal="100" workbookViewId="0">
      <selection activeCell="E5" sqref="E5:I5"/>
    </sheetView>
  </sheetViews>
  <sheetFormatPr defaultColWidth="9.140625" defaultRowHeight="12.75" x14ac:dyDescent="0.2"/>
  <cols>
    <col min="1" max="1" width="52.5703125" style="1" customWidth="1"/>
    <col min="2" max="2" width="10.42578125" style="17" customWidth="1"/>
    <col min="3" max="3" width="10.85546875" style="17" customWidth="1"/>
    <col min="4" max="4" width="15.140625" style="17" customWidth="1"/>
    <col min="5" max="5" width="10.140625" style="17" customWidth="1"/>
    <col min="6" max="6" width="14" style="17" customWidth="1"/>
    <col min="7" max="7" width="14.140625" style="17" customWidth="1"/>
    <col min="8" max="8" width="15.85546875" style="17" customWidth="1"/>
    <col min="9" max="9" width="13.85546875" style="17" customWidth="1"/>
    <col min="10" max="16384" width="9.140625" style="1"/>
  </cols>
  <sheetData>
    <row r="1" spans="1:9" x14ac:dyDescent="0.2">
      <c r="A1" s="6" t="s">
        <v>79</v>
      </c>
      <c r="B1" s="25"/>
    </row>
    <row r="2" spans="1:9" x14ac:dyDescent="0.2">
      <c r="A2" s="6" t="s">
        <v>141</v>
      </c>
      <c r="B2" s="25"/>
    </row>
    <row r="3" spans="1:9" x14ac:dyDescent="0.2">
      <c r="A3" s="70" t="s">
        <v>136</v>
      </c>
      <c r="B3" s="25"/>
    </row>
    <row r="4" spans="1:9" x14ac:dyDescent="0.2">
      <c r="A4" s="1" t="s">
        <v>112</v>
      </c>
      <c r="E4" s="72"/>
      <c r="F4" s="72"/>
      <c r="G4" s="72"/>
    </row>
    <row r="5" spans="1:9" ht="28.5" customHeight="1" thickBot="1" x14ac:dyDescent="0.25">
      <c r="E5" s="73" t="s">
        <v>137</v>
      </c>
      <c r="F5" s="73"/>
      <c r="G5" s="73"/>
      <c r="H5" s="73"/>
      <c r="I5" s="73"/>
    </row>
    <row r="6" spans="1:9" ht="58.9" customHeight="1" thickBot="1" x14ac:dyDescent="0.25">
      <c r="A6" s="3"/>
      <c r="B6" s="18" t="s">
        <v>72</v>
      </c>
      <c r="C6" s="23" t="s">
        <v>100</v>
      </c>
      <c r="D6" s="23" t="s">
        <v>99</v>
      </c>
      <c r="E6" s="24" t="s">
        <v>101</v>
      </c>
      <c r="F6" s="23" t="s">
        <v>98</v>
      </c>
      <c r="G6" s="23" t="s">
        <v>73</v>
      </c>
      <c r="H6" s="23" t="s">
        <v>74</v>
      </c>
      <c r="I6" s="23" t="s">
        <v>77</v>
      </c>
    </row>
    <row r="7" spans="1:9" ht="15" x14ac:dyDescent="0.2">
      <c r="A7" s="1" t="s">
        <v>65</v>
      </c>
      <c r="B7" s="44">
        <f>'[1]ATTIS Summary Tables'!$J$615/1000</f>
        <v>18879.900000000001</v>
      </c>
      <c r="C7" s="31"/>
      <c r="D7" s="26"/>
      <c r="E7" s="31"/>
      <c r="F7" s="26"/>
      <c r="G7" s="28"/>
      <c r="H7" s="45"/>
      <c r="I7" s="26"/>
    </row>
    <row r="8" spans="1:9" ht="15" x14ac:dyDescent="0.2">
      <c r="A8" s="12" t="s">
        <v>66</v>
      </c>
      <c r="B8" s="46"/>
      <c r="C8" s="34"/>
      <c r="D8" s="26"/>
      <c r="E8" s="34"/>
      <c r="F8" s="26"/>
      <c r="G8" s="28"/>
      <c r="H8" s="35"/>
      <c r="I8" s="26"/>
    </row>
    <row r="9" spans="1:9" x14ac:dyDescent="0.2">
      <c r="A9" s="5" t="s">
        <v>23</v>
      </c>
      <c r="B9" s="47">
        <f>'[1]ATTIS Summary Tables'!$J$619/1000</f>
        <v>1627.8</v>
      </c>
      <c r="C9" s="36"/>
      <c r="D9" s="26"/>
      <c r="E9" s="36"/>
      <c r="F9" s="26"/>
      <c r="G9" s="28"/>
      <c r="H9" s="45"/>
      <c r="I9" s="26"/>
    </row>
    <row r="10" spans="1:9" x14ac:dyDescent="0.2">
      <c r="A10" s="13" t="s">
        <v>1</v>
      </c>
      <c r="B10" s="47"/>
      <c r="C10" s="36">
        <f>'[2]SPM poverty tables'!$D$619/1000</f>
        <v>96.164000000000001</v>
      </c>
      <c r="D10" s="26">
        <f>C10/$B$9</f>
        <v>5.9076053569234552E-2</v>
      </c>
      <c r="E10" s="36">
        <f>'[3]SPM tables'!$D$619/1000</f>
        <v>94.960999999999999</v>
      </c>
      <c r="F10" s="26">
        <f>E10/$B$9</f>
        <v>5.8337019289839045E-2</v>
      </c>
      <c r="G10" s="28">
        <f>E10-C10</f>
        <v>-1.203000000000003</v>
      </c>
      <c r="H10" s="33">
        <f>ROUND((F10-D10)*100,2)</f>
        <v>-7.0000000000000007E-2</v>
      </c>
      <c r="I10" s="26">
        <f>(E10-C10)/C10</f>
        <v>-1.2509878956782194E-2</v>
      </c>
    </row>
    <row r="11" spans="1:9" x14ac:dyDescent="0.2">
      <c r="A11" s="13" t="s">
        <v>2</v>
      </c>
      <c r="B11" s="47"/>
      <c r="C11" s="36">
        <f>'[2]SPM poverty tables'!$E$619/1000</f>
        <v>344.77100000000002</v>
      </c>
      <c r="D11" s="26">
        <f t="shared" ref="D11:D13" si="0">C11/$B$9</f>
        <v>0.21180181840520951</v>
      </c>
      <c r="E11" s="36">
        <f>'[3]SPM tables'!$E$619/1000</f>
        <v>319.923</v>
      </c>
      <c r="F11" s="26">
        <f t="shared" ref="F11:F13" si="1">E11/$B$9</f>
        <v>0.19653704386288243</v>
      </c>
      <c r="G11" s="28">
        <f t="shared" ref="G11:G60" si="2">E11-C11</f>
        <v>-24.848000000000013</v>
      </c>
      <c r="H11" s="33">
        <f t="shared" ref="H11:H13" si="3">ROUND((F11-D11)*100,2)</f>
        <v>-1.53</v>
      </c>
      <c r="I11" s="26">
        <f t="shared" ref="I11:I13" si="4">(E11-C11)/C11</f>
        <v>-7.2071026855507023E-2</v>
      </c>
    </row>
    <row r="12" spans="1:9" x14ac:dyDescent="0.2">
      <c r="A12" s="13" t="s">
        <v>3</v>
      </c>
      <c r="B12" s="47"/>
      <c r="C12" s="36">
        <f>'[2]SPM poverty tables'!$F$619/1000</f>
        <v>662.86699999999996</v>
      </c>
      <c r="D12" s="26">
        <f t="shared" si="0"/>
        <v>0.40721648851210224</v>
      </c>
      <c r="E12" s="36">
        <f>'[3]SPM tables'!$F$619/1000</f>
        <v>654.64</v>
      </c>
      <c r="F12" s="26">
        <f t="shared" si="1"/>
        <v>0.4021624278166851</v>
      </c>
      <c r="G12" s="28">
        <f t="shared" si="2"/>
        <v>-8.2269999999999754</v>
      </c>
      <c r="H12" s="33">
        <f t="shared" si="3"/>
        <v>-0.51</v>
      </c>
      <c r="I12" s="26">
        <f t="shared" si="4"/>
        <v>-1.2411237850126761E-2</v>
      </c>
    </row>
    <row r="13" spans="1:9" x14ac:dyDescent="0.2">
      <c r="A13" s="13" t="s">
        <v>4</v>
      </c>
      <c r="B13" s="47"/>
      <c r="C13" s="36">
        <f>'[2]SPM poverty tables'!$G$619/1000</f>
        <v>860.298</v>
      </c>
      <c r="D13" s="26">
        <f t="shared" si="0"/>
        <v>0.52850350165868043</v>
      </c>
      <c r="E13" s="36">
        <f>'[3]SPM tables'!$G$619/1000</f>
        <v>855.53200000000004</v>
      </c>
      <c r="F13" s="26">
        <f t="shared" si="1"/>
        <v>0.52557562354097553</v>
      </c>
      <c r="G13" s="28">
        <f t="shared" ref="G13" si="5">E13-C13</f>
        <v>-4.7659999999999627</v>
      </c>
      <c r="H13" s="33">
        <f t="shared" si="3"/>
        <v>-0.28999999999999998</v>
      </c>
      <c r="I13" s="26">
        <f t="shared" si="4"/>
        <v>-5.5399408112072361E-3</v>
      </c>
    </row>
    <row r="14" spans="1:9" x14ac:dyDescent="0.2">
      <c r="A14" s="5" t="s">
        <v>22</v>
      </c>
      <c r="B14" s="47">
        <f>'[1]ATTIS Summary Tables'!$J$618/1000</f>
        <v>2625.71</v>
      </c>
      <c r="C14" s="36"/>
      <c r="D14" s="26"/>
      <c r="E14" s="36"/>
      <c r="F14" s="26"/>
      <c r="G14" s="28"/>
      <c r="H14" s="45"/>
      <c r="I14" s="26"/>
    </row>
    <row r="15" spans="1:9" x14ac:dyDescent="0.2">
      <c r="A15" s="13" t="s">
        <v>1</v>
      </c>
      <c r="B15" s="47"/>
      <c r="C15" s="36">
        <f>'[2]SPM poverty tables'!$D$618/1000</f>
        <v>112.482</v>
      </c>
      <c r="D15" s="26">
        <f>C15/$B$14</f>
        <v>4.2838698866211423E-2</v>
      </c>
      <c r="E15" s="36">
        <f>'[3]SPM tables'!$D$618/1000</f>
        <v>107.595</v>
      </c>
      <c r="F15" s="26">
        <f>E15/$B$14</f>
        <v>4.0977487993723603E-2</v>
      </c>
      <c r="G15" s="28">
        <f t="shared" si="2"/>
        <v>-4.8870000000000005</v>
      </c>
      <c r="H15" s="33">
        <f t="shared" ref="H15:H18" si="6">ROUND((F15-D15)*100,2)</f>
        <v>-0.19</v>
      </c>
      <c r="I15" s="26">
        <f t="shared" ref="I15:I18" si="7">(E15-C15)/C15</f>
        <v>-4.3446951512241962E-2</v>
      </c>
    </row>
    <row r="16" spans="1:9" x14ac:dyDescent="0.2">
      <c r="A16" s="13" t="s">
        <v>2</v>
      </c>
      <c r="B16" s="47"/>
      <c r="C16" s="36">
        <f>'[2]SPM poverty tables'!$E$618/1000</f>
        <v>447.202</v>
      </c>
      <c r="D16" s="26">
        <f t="shared" ref="D16:D18" si="8">C16/$B$14</f>
        <v>0.17031660008150176</v>
      </c>
      <c r="E16" s="36">
        <f>'[3]SPM tables'!$E$618/1000</f>
        <v>424.89100000000002</v>
      </c>
      <c r="F16" s="26">
        <f t="shared" ref="F16:F18" si="9">E16/$B$14</f>
        <v>0.16181946978150671</v>
      </c>
      <c r="G16" s="28">
        <f t="shared" si="2"/>
        <v>-22.310999999999979</v>
      </c>
      <c r="H16" s="33">
        <f t="shared" si="6"/>
        <v>-0.85</v>
      </c>
      <c r="I16" s="26">
        <f t="shared" si="7"/>
        <v>-4.9890206215535658E-2</v>
      </c>
    </row>
    <row r="17" spans="1:9" x14ac:dyDescent="0.2">
      <c r="A17" s="13" t="s">
        <v>3</v>
      </c>
      <c r="B17" s="47"/>
      <c r="C17" s="36">
        <f>'[2]SPM poverty tables'!$F$618/1000</f>
        <v>1130.75</v>
      </c>
      <c r="D17" s="26">
        <f t="shared" si="8"/>
        <v>0.43064542542778905</v>
      </c>
      <c r="E17" s="36">
        <f>'[3]SPM tables'!$F$618/1000</f>
        <v>1097.95</v>
      </c>
      <c r="F17" s="26">
        <f t="shared" si="9"/>
        <v>0.41815356608307852</v>
      </c>
      <c r="G17" s="28">
        <f t="shared" si="2"/>
        <v>-32.799999999999955</v>
      </c>
      <c r="H17" s="33">
        <f t="shared" si="6"/>
        <v>-1.25</v>
      </c>
      <c r="I17" s="26">
        <f t="shared" si="7"/>
        <v>-2.900729604244966E-2</v>
      </c>
    </row>
    <row r="18" spans="1:9" x14ac:dyDescent="0.2">
      <c r="A18" s="13" t="s">
        <v>4</v>
      </c>
      <c r="B18" s="47"/>
      <c r="C18" s="36">
        <f>'[2]SPM poverty tables'!$G$618/1000</f>
        <v>1540.47</v>
      </c>
      <c r="D18" s="26">
        <f t="shared" si="8"/>
        <v>0.58668702941299689</v>
      </c>
      <c r="E18" s="36">
        <f>'[3]SPM tables'!$G$618/1000</f>
        <v>1529.53</v>
      </c>
      <c r="F18" s="26">
        <f t="shared" si="9"/>
        <v>0.58252053730229159</v>
      </c>
      <c r="G18" s="28">
        <f t="shared" si="2"/>
        <v>-10.940000000000055</v>
      </c>
      <c r="H18" s="33">
        <f t="shared" si="6"/>
        <v>-0.42</v>
      </c>
      <c r="I18" s="26">
        <f t="shared" si="7"/>
        <v>-7.1017286931910747E-3</v>
      </c>
    </row>
    <row r="19" spans="1:9" x14ac:dyDescent="0.2">
      <c r="A19" s="5" t="s">
        <v>24</v>
      </c>
      <c r="B19" s="47">
        <f>'[1]ATTIS Summary Tables'!$J$620/1000</f>
        <v>3645.79</v>
      </c>
      <c r="C19" s="36"/>
      <c r="D19" s="26"/>
      <c r="E19" s="36"/>
      <c r="F19" s="26"/>
      <c r="G19" s="28"/>
      <c r="H19" s="45"/>
      <c r="I19" s="26"/>
    </row>
    <row r="20" spans="1:9" x14ac:dyDescent="0.2">
      <c r="A20" s="13" t="s">
        <v>1</v>
      </c>
      <c r="B20" s="47"/>
      <c r="C20" s="36">
        <f>'[2]SPM poverty tables'!$D$620/1000</f>
        <v>148.34899999999999</v>
      </c>
      <c r="D20" s="26">
        <f>C20/$B$19</f>
        <v>4.0690495064169906E-2</v>
      </c>
      <c r="E20" s="36">
        <f>'[3]SPM tables'!$D$620/1000</f>
        <v>141.916</v>
      </c>
      <c r="F20" s="26">
        <f>E20/$B$19</f>
        <v>3.8925994091815491E-2</v>
      </c>
      <c r="G20" s="28">
        <f t="shared" si="2"/>
        <v>-6.4329999999999927</v>
      </c>
      <c r="H20" s="33">
        <f t="shared" ref="H20:H23" si="10">ROUND((F20-D20)*100,2)</f>
        <v>-0.18</v>
      </c>
      <c r="I20" s="26">
        <f t="shared" ref="I20:I23" si="11">(E20-C20)/C20</f>
        <v>-4.3363959312162491E-2</v>
      </c>
    </row>
    <row r="21" spans="1:9" x14ac:dyDescent="0.2">
      <c r="A21" s="13" t="s">
        <v>2</v>
      </c>
      <c r="B21" s="47"/>
      <c r="C21" s="36">
        <f>'[2]SPM poverty tables'!$E$620/1000</f>
        <v>720.529</v>
      </c>
      <c r="D21" s="26">
        <f t="shared" ref="D21:D23" si="12">C21/$B$19</f>
        <v>0.1976331604398498</v>
      </c>
      <c r="E21" s="36">
        <f>'[3]SPM tables'!$E$620/1000</f>
        <v>670.62400000000002</v>
      </c>
      <c r="F21" s="26">
        <f t="shared" ref="F21:F23" si="13">E21/$B$19</f>
        <v>0.18394476917211361</v>
      </c>
      <c r="G21" s="28">
        <f t="shared" si="2"/>
        <v>-49.904999999999973</v>
      </c>
      <c r="H21" s="33">
        <f t="shared" si="10"/>
        <v>-1.37</v>
      </c>
      <c r="I21" s="26">
        <f t="shared" si="11"/>
        <v>-6.9261611954550023E-2</v>
      </c>
    </row>
    <row r="22" spans="1:9" x14ac:dyDescent="0.2">
      <c r="A22" s="13" t="s">
        <v>3</v>
      </c>
      <c r="B22" s="47"/>
      <c r="C22" s="36">
        <f>'[2]SPM poverty tables'!$F$620/1000</f>
        <v>1760.61</v>
      </c>
      <c r="D22" s="26">
        <f t="shared" si="12"/>
        <v>0.48291591122911631</v>
      </c>
      <c r="E22" s="36">
        <f>'[3]SPM tables'!$F$620/1000</f>
        <v>1716.14</v>
      </c>
      <c r="F22" s="26">
        <f t="shared" si="13"/>
        <v>0.47071828053727727</v>
      </c>
      <c r="G22" s="28">
        <f t="shared" si="2"/>
        <v>-44.4699999999998</v>
      </c>
      <c r="H22" s="33">
        <f t="shared" si="10"/>
        <v>-1.22</v>
      </c>
      <c r="I22" s="26">
        <f t="shared" si="11"/>
        <v>-2.5258291160449958E-2</v>
      </c>
    </row>
    <row r="23" spans="1:9" x14ac:dyDescent="0.2">
      <c r="A23" s="13" t="s">
        <v>4</v>
      </c>
      <c r="B23" s="47"/>
      <c r="C23" s="36">
        <f>'[2]SPM poverty tables'!$G$620/1000</f>
        <v>2395.02</v>
      </c>
      <c r="D23" s="26">
        <f t="shared" si="12"/>
        <v>0.65692757948208758</v>
      </c>
      <c r="E23" s="36">
        <f>'[3]SPM tables'!$G$620/1000</f>
        <v>2380.1799999999998</v>
      </c>
      <c r="F23" s="26">
        <f t="shared" si="13"/>
        <v>0.65285713110190102</v>
      </c>
      <c r="G23" s="28">
        <f t="shared" si="2"/>
        <v>-14.840000000000146</v>
      </c>
      <c r="H23" s="33">
        <f t="shared" si="10"/>
        <v>-0.41</v>
      </c>
      <c r="I23" s="26">
        <f t="shared" si="11"/>
        <v>-6.1961904284724744E-3</v>
      </c>
    </row>
    <row r="24" spans="1:9" x14ac:dyDescent="0.2">
      <c r="A24" s="5" t="s">
        <v>25</v>
      </c>
      <c r="B24" s="47">
        <f>'[1]ATTIS Summary Tables'!$J$617/1000</f>
        <v>10430.799999999999</v>
      </c>
      <c r="C24" s="36"/>
      <c r="D24" s="26"/>
      <c r="E24" s="36"/>
      <c r="F24" s="26"/>
      <c r="G24" s="28"/>
      <c r="H24" s="45"/>
      <c r="I24" s="26"/>
    </row>
    <row r="25" spans="1:9" x14ac:dyDescent="0.2">
      <c r="A25" s="13" t="s">
        <v>1</v>
      </c>
      <c r="B25" s="47"/>
      <c r="C25" s="36">
        <f>'[2]SPM poverty tables'!$D$617/1000</f>
        <v>288.40499999999997</v>
      </c>
      <c r="D25" s="26">
        <f>C25/$B$24</f>
        <v>2.7649365341105188E-2</v>
      </c>
      <c r="E25" s="36">
        <f>'[3]SPM tables'!$D$617/1000</f>
        <v>283.50900000000001</v>
      </c>
      <c r="F25" s="26">
        <f>E25/$B$24</f>
        <v>2.7179986194730991E-2</v>
      </c>
      <c r="G25" s="28">
        <f t="shared" si="2"/>
        <v>-4.8959999999999582</v>
      </c>
      <c r="H25" s="33">
        <f t="shared" ref="H25:H28" si="14">ROUND((F25-D25)*100,2)</f>
        <v>-0.05</v>
      </c>
      <c r="I25" s="26">
        <f t="shared" ref="I25:I28" si="15">(E25-C25)/C25</f>
        <v>-1.6976127320954763E-2</v>
      </c>
    </row>
    <row r="26" spans="1:9" x14ac:dyDescent="0.2">
      <c r="A26" s="13" t="s">
        <v>2</v>
      </c>
      <c r="B26" s="47"/>
      <c r="C26" s="36">
        <f>'[2]SPM poverty tables'!$E$617/1000</f>
        <v>951.55799999999999</v>
      </c>
      <c r="D26" s="26">
        <f t="shared" ref="D26:D28" si="16">C26/$B$24</f>
        <v>9.1225792844268905E-2</v>
      </c>
      <c r="E26" s="36">
        <f>'[3]SPM tables'!$E$617/1000</f>
        <v>908.11699999999996</v>
      </c>
      <c r="F26" s="26">
        <f t="shared" ref="F26:F28" si="17">E26/$B$24</f>
        <v>8.7061107489358441E-2</v>
      </c>
      <c r="G26" s="28">
        <f t="shared" si="2"/>
        <v>-43.441000000000031</v>
      </c>
      <c r="H26" s="33">
        <f t="shared" si="14"/>
        <v>-0.42</v>
      </c>
      <c r="I26" s="26">
        <f t="shared" si="15"/>
        <v>-4.5652498323801631E-2</v>
      </c>
    </row>
    <row r="27" spans="1:9" x14ac:dyDescent="0.2">
      <c r="A27" s="13" t="s">
        <v>3</v>
      </c>
      <c r="B27" s="47"/>
      <c r="C27" s="36">
        <f>'[2]SPM poverty tables'!$F$617/1000</f>
        <v>2077.29</v>
      </c>
      <c r="D27" s="26">
        <f t="shared" si="16"/>
        <v>0.19914963377689152</v>
      </c>
      <c r="E27" s="36">
        <f>'[3]SPM tables'!$F$617/1000</f>
        <v>2021.9</v>
      </c>
      <c r="F27" s="26">
        <f t="shared" si="17"/>
        <v>0.19383939870383865</v>
      </c>
      <c r="G27" s="28">
        <f t="shared" si="2"/>
        <v>-55.389999999999873</v>
      </c>
      <c r="H27" s="33">
        <f t="shared" si="14"/>
        <v>-0.53</v>
      </c>
      <c r="I27" s="26">
        <f t="shared" si="15"/>
        <v>-2.6664548522353584E-2</v>
      </c>
    </row>
    <row r="28" spans="1:9" x14ac:dyDescent="0.2">
      <c r="A28" s="13" t="s">
        <v>4</v>
      </c>
      <c r="B28" s="47"/>
      <c r="C28" s="36">
        <f>'[2]SPM poverty tables'!$G$617/1000</f>
        <v>3204.86</v>
      </c>
      <c r="D28" s="26">
        <f t="shared" si="16"/>
        <v>0.30724968362925187</v>
      </c>
      <c r="E28" s="36">
        <f>'[3]SPM tables'!$G$617/1000</f>
        <v>3171.23</v>
      </c>
      <c r="F28" s="26">
        <f t="shared" si="17"/>
        <v>0.30402557809563985</v>
      </c>
      <c r="G28" s="28">
        <f t="shared" si="2"/>
        <v>-33.630000000000109</v>
      </c>
      <c r="H28" s="33">
        <f t="shared" si="14"/>
        <v>-0.32</v>
      </c>
      <c r="I28" s="26">
        <f t="shared" si="15"/>
        <v>-1.049343809089948E-2</v>
      </c>
    </row>
    <row r="29" spans="1:9" x14ac:dyDescent="0.2">
      <c r="A29" s="5" t="s">
        <v>60</v>
      </c>
      <c r="B29" s="47">
        <f>'[1]ATTIS Summary Tables'!$J$621/1000</f>
        <v>549.71500000000003</v>
      </c>
      <c r="C29" s="36"/>
      <c r="D29" s="26"/>
      <c r="E29" s="36"/>
      <c r="F29" s="26"/>
      <c r="G29" s="28"/>
      <c r="H29" s="45"/>
      <c r="I29" s="26"/>
    </row>
    <row r="30" spans="1:9" x14ac:dyDescent="0.2">
      <c r="A30" s="13" t="s">
        <v>1</v>
      </c>
      <c r="B30" s="47"/>
      <c r="C30" s="36">
        <f>'[2]SPM poverty tables'!$D$621/1000</f>
        <v>22.152999999999999</v>
      </c>
      <c r="D30" s="26">
        <f>C30/$B$29</f>
        <v>4.0299064060467689E-2</v>
      </c>
      <c r="E30" s="36">
        <f>'[3]SPM tables'!$D$621/1000</f>
        <v>20.067</v>
      </c>
      <c r="F30" s="26">
        <f>E30/$B$29</f>
        <v>3.6504370446504099E-2</v>
      </c>
      <c r="G30" s="28">
        <f t="shared" si="2"/>
        <v>-2.0859999999999985</v>
      </c>
      <c r="H30" s="33">
        <f t="shared" ref="H30:H33" si="18">ROUND((F30-D30)*100,2)</f>
        <v>-0.38</v>
      </c>
      <c r="I30" s="26">
        <f t="shared" ref="I30:I33" si="19">(E30-C30)/C30</f>
        <v>-9.4163318737868401E-2</v>
      </c>
    </row>
    <row r="31" spans="1:9" x14ac:dyDescent="0.2">
      <c r="A31" s="13" t="s">
        <v>2</v>
      </c>
      <c r="B31" s="47"/>
      <c r="C31" s="36">
        <f>'[2]SPM poverty tables'!$E$621/1000</f>
        <v>92.742999999999995</v>
      </c>
      <c r="D31" s="26">
        <f t="shared" ref="D31:D33" si="20">C31/$B$29</f>
        <v>0.16871105936712658</v>
      </c>
      <c r="E31" s="36">
        <f>'[3]SPM tables'!$E$621/1000</f>
        <v>90.161000000000001</v>
      </c>
      <c r="F31" s="26">
        <f t="shared" ref="F31:F33" si="21">E31/$B$29</f>
        <v>0.1640140800232848</v>
      </c>
      <c r="G31" s="28">
        <f t="shared" si="2"/>
        <v>-2.5819999999999936</v>
      </c>
      <c r="H31" s="33">
        <f t="shared" si="18"/>
        <v>-0.47</v>
      </c>
      <c r="I31" s="26">
        <f t="shared" si="19"/>
        <v>-2.7840376093074343E-2</v>
      </c>
    </row>
    <row r="32" spans="1:9" x14ac:dyDescent="0.2">
      <c r="A32" s="13" t="s">
        <v>3</v>
      </c>
      <c r="B32" s="47"/>
      <c r="C32" s="36">
        <f>'[2]SPM poverty tables'!$F$621/1000</f>
        <v>191.20500000000001</v>
      </c>
      <c r="D32" s="26">
        <f t="shared" si="20"/>
        <v>0.34782569149468362</v>
      </c>
      <c r="E32" s="36">
        <f>'[3]SPM tables'!$F$621/1000</f>
        <v>186.215</v>
      </c>
      <c r="F32" s="26">
        <f t="shared" si="21"/>
        <v>0.33874826046223949</v>
      </c>
      <c r="G32" s="28">
        <f t="shared" si="2"/>
        <v>-4.9900000000000091</v>
      </c>
      <c r="H32" s="33">
        <f t="shared" si="18"/>
        <v>-0.91</v>
      </c>
      <c r="I32" s="26">
        <f t="shared" si="19"/>
        <v>-2.6097643890065681E-2</v>
      </c>
    </row>
    <row r="33" spans="1:9" x14ac:dyDescent="0.2">
      <c r="A33" s="13" t="s">
        <v>4</v>
      </c>
      <c r="B33" s="47"/>
      <c r="C33" s="36">
        <f>'[2]SPM poverty tables'!$G$621/1000</f>
        <v>270.80799999999999</v>
      </c>
      <c r="D33" s="26">
        <f t="shared" si="20"/>
        <v>0.4926334555178592</v>
      </c>
      <c r="E33" s="36">
        <f>'[3]SPM tables'!$G$621/1000</f>
        <v>268.74900000000002</v>
      </c>
      <c r="F33" s="26">
        <f t="shared" si="21"/>
        <v>0.48888787826419144</v>
      </c>
      <c r="G33" s="28">
        <f t="shared" si="2"/>
        <v>-2.0589999999999691</v>
      </c>
      <c r="H33" s="33">
        <f t="shared" si="18"/>
        <v>-0.37</v>
      </c>
      <c r="I33" s="26">
        <f t="shared" si="19"/>
        <v>-7.6031727275411697E-3</v>
      </c>
    </row>
    <row r="34" spans="1:9" ht="27.75" x14ac:dyDescent="0.2">
      <c r="A34" s="15" t="s">
        <v>95</v>
      </c>
      <c r="B34" s="46"/>
      <c r="C34" s="34"/>
      <c r="D34" s="26"/>
      <c r="E34" s="34"/>
      <c r="F34" s="26"/>
      <c r="G34" s="28"/>
      <c r="H34" s="35"/>
      <c r="I34" s="26"/>
    </row>
    <row r="35" spans="1:9" x14ac:dyDescent="0.2">
      <c r="A35" s="5" t="s">
        <v>67</v>
      </c>
      <c r="B35" s="47">
        <f>'[1]ATTIS Summary Tables'!$J$839/1000</f>
        <v>3993.93</v>
      </c>
      <c r="C35" s="36"/>
      <c r="D35" s="26"/>
      <c r="E35" s="36"/>
      <c r="F35" s="26"/>
      <c r="G35" s="28"/>
      <c r="H35" s="45"/>
      <c r="I35" s="26"/>
    </row>
    <row r="36" spans="1:9" x14ac:dyDescent="0.2">
      <c r="A36" s="5" t="s">
        <v>23</v>
      </c>
      <c r="B36" s="47">
        <f>'[1]ATTIS Summary Tables'!$J$843/1000</f>
        <v>302.55700000000002</v>
      </c>
      <c r="C36" s="36"/>
      <c r="D36" s="26"/>
      <c r="E36" s="36"/>
      <c r="F36" s="26"/>
      <c r="G36" s="28"/>
      <c r="H36" s="45"/>
      <c r="I36" s="26"/>
    </row>
    <row r="37" spans="1:9" x14ac:dyDescent="0.2">
      <c r="A37" s="13" t="s">
        <v>1</v>
      </c>
      <c r="B37" s="47"/>
      <c r="C37" s="36">
        <f>'[2]SPM poverty tables'!$D$843/1000</f>
        <v>9.2430000000000003</v>
      </c>
      <c r="D37" s="26">
        <f>C37/$B$36</f>
        <v>3.0549615444362549E-2</v>
      </c>
      <c r="E37" s="36">
        <f>'[3]SPM tables'!$D$843/1000</f>
        <v>8.9480000000000004</v>
      </c>
      <c r="F37" s="26">
        <f>E37/$B$36</f>
        <v>2.9574592556113392E-2</v>
      </c>
      <c r="G37" s="28">
        <f t="shared" si="2"/>
        <v>-0.29499999999999993</v>
      </c>
      <c r="H37" s="33">
        <f t="shared" ref="H37:H40" si="22">ROUND((F37-D37)*100,2)</f>
        <v>-0.1</v>
      </c>
      <c r="I37" s="26">
        <f t="shared" ref="I37:I40" si="23">(E37-C37)/C37</f>
        <v>-3.1916044574272412E-2</v>
      </c>
    </row>
    <row r="38" spans="1:9" x14ac:dyDescent="0.2">
      <c r="A38" s="13" t="s">
        <v>2</v>
      </c>
      <c r="B38" s="47"/>
      <c r="C38" s="36">
        <f>'[2]SPM poverty tables'!$E$843/1000</f>
        <v>55.503</v>
      </c>
      <c r="D38" s="26">
        <f t="shared" ref="D38:D39" si="24">C38/$B$36</f>
        <v>0.18344642497116245</v>
      </c>
      <c r="E38" s="36">
        <f>'[3]SPM tables'!$E$843/1000</f>
        <v>46.134999999999998</v>
      </c>
      <c r="F38" s="26">
        <f t="shared" ref="F38:F40" si="25">E38/$B$36</f>
        <v>0.1524836642351689</v>
      </c>
      <c r="G38" s="28">
        <f t="shared" si="2"/>
        <v>-9.3680000000000021</v>
      </c>
      <c r="H38" s="33">
        <f t="shared" si="22"/>
        <v>-3.1</v>
      </c>
      <c r="I38" s="26">
        <f t="shared" si="23"/>
        <v>-0.16878366935120628</v>
      </c>
    </row>
    <row r="39" spans="1:9" x14ac:dyDescent="0.2">
      <c r="A39" s="13" t="s">
        <v>3</v>
      </c>
      <c r="B39" s="47"/>
      <c r="C39" s="36">
        <f>'[2]SPM poverty tables'!$F$843/1000</f>
        <v>134.584</v>
      </c>
      <c r="D39" s="26">
        <f t="shared" si="24"/>
        <v>0.44482196743093033</v>
      </c>
      <c r="E39" s="36">
        <f>'[3]SPM tables'!$F$843/1000</f>
        <v>131.59800000000001</v>
      </c>
      <c r="F39" s="26">
        <f t="shared" si="25"/>
        <v>0.43495275270444911</v>
      </c>
      <c r="G39" s="28">
        <f t="shared" si="2"/>
        <v>-2.98599999999999</v>
      </c>
      <c r="H39" s="33">
        <f t="shared" si="22"/>
        <v>-0.99</v>
      </c>
      <c r="I39" s="26">
        <f t="shared" si="23"/>
        <v>-2.2186886999940484E-2</v>
      </c>
    </row>
    <row r="40" spans="1:9" x14ac:dyDescent="0.2">
      <c r="A40" s="13" t="s">
        <v>4</v>
      </c>
      <c r="B40" s="47"/>
      <c r="C40" s="36">
        <f>'[2]SPM poverty tables'!$G$843/1000</f>
        <v>176.048</v>
      </c>
      <c r="D40" s="26">
        <f>C40/$B$36</f>
        <v>0.58186721840843214</v>
      </c>
      <c r="E40" s="36">
        <f>'[3]SPM tables'!$G$843/1000</f>
        <v>174.68299999999999</v>
      </c>
      <c r="F40" s="26">
        <f t="shared" si="25"/>
        <v>0.57735567182382153</v>
      </c>
      <c r="G40" s="28">
        <f t="shared" si="2"/>
        <v>-1.3650000000000091</v>
      </c>
      <c r="H40" s="33">
        <f t="shared" si="22"/>
        <v>-0.45</v>
      </c>
      <c r="I40" s="26">
        <f t="shared" si="23"/>
        <v>-7.7535672089430671E-3</v>
      </c>
    </row>
    <row r="41" spans="1:9" x14ac:dyDescent="0.2">
      <c r="A41" s="5" t="s">
        <v>22</v>
      </c>
      <c r="B41" s="47">
        <f>'[1]ATTIS Summary Tables'!$J$842/1000</f>
        <v>581.31899999999996</v>
      </c>
      <c r="C41" s="36"/>
      <c r="D41" s="26"/>
      <c r="E41" s="36"/>
      <c r="F41" s="26"/>
      <c r="G41" s="28"/>
      <c r="H41" s="45"/>
      <c r="I41" s="26"/>
    </row>
    <row r="42" spans="1:9" x14ac:dyDescent="0.2">
      <c r="A42" s="13" t="s">
        <v>1</v>
      </c>
      <c r="B42" s="47"/>
      <c r="C42" s="36">
        <f>'[2]SPM poverty tables'!$D$842/1000</f>
        <v>17.120999999999999</v>
      </c>
      <c r="D42" s="26">
        <f>C42/$B$41</f>
        <v>2.9451987635016229E-2</v>
      </c>
      <c r="E42" s="36">
        <f>'[3]SPM tables'!$D$842/1000</f>
        <v>15.445</v>
      </c>
      <c r="F42" s="26">
        <f>E42/$B$41</f>
        <v>2.6568889026506962E-2</v>
      </c>
      <c r="G42" s="28">
        <f t="shared" si="2"/>
        <v>-1.6759999999999984</v>
      </c>
      <c r="H42" s="33">
        <f t="shared" ref="H42:H45" si="26">ROUND((F42-D42)*100,2)</f>
        <v>-0.28999999999999998</v>
      </c>
      <c r="I42" s="26">
        <f t="shared" ref="I42:I45" si="27">(E42-C42)/C42</f>
        <v>-9.7891478301500995E-2</v>
      </c>
    </row>
    <row r="43" spans="1:9" x14ac:dyDescent="0.2">
      <c r="A43" s="13" t="s">
        <v>2</v>
      </c>
      <c r="B43" s="47"/>
      <c r="C43" s="36">
        <f>'[2]SPM poverty tables'!$E$842/1000</f>
        <v>90.269000000000005</v>
      </c>
      <c r="D43" s="26">
        <f t="shared" ref="D43:D45" si="28">C43/$B$41</f>
        <v>0.15528307177298525</v>
      </c>
      <c r="E43" s="36">
        <f>'[3]SPM tables'!$E$842/1000</f>
        <v>79.588999999999999</v>
      </c>
      <c r="F43" s="26">
        <f t="shared" ref="F43:F45" si="29">E43/$B$41</f>
        <v>0.13691105916028892</v>
      </c>
      <c r="G43" s="28">
        <f t="shared" si="2"/>
        <v>-10.680000000000007</v>
      </c>
      <c r="H43" s="33">
        <f t="shared" si="26"/>
        <v>-1.84</v>
      </c>
      <c r="I43" s="26">
        <f t="shared" si="27"/>
        <v>-0.11831304212963482</v>
      </c>
    </row>
    <row r="44" spans="1:9" x14ac:dyDescent="0.2">
      <c r="A44" s="13" t="s">
        <v>3</v>
      </c>
      <c r="B44" s="47"/>
      <c r="C44" s="36">
        <f>'[2]SPM poverty tables'!$F$842/1000</f>
        <v>290.92399999999998</v>
      </c>
      <c r="D44" s="26">
        <f t="shared" si="28"/>
        <v>0.50045499975056729</v>
      </c>
      <c r="E44" s="36">
        <f>'[3]SPM tables'!$F$842/1000</f>
        <v>272.44600000000003</v>
      </c>
      <c r="F44" s="26">
        <f t="shared" si="29"/>
        <v>0.46866866556916265</v>
      </c>
      <c r="G44" s="28">
        <f t="shared" si="2"/>
        <v>-18.477999999999952</v>
      </c>
      <c r="H44" s="33">
        <f t="shared" si="26"/>
        <v>-3.18</v>
      </c>
      <c r="I44" s="26">
        <f t="shared" si="27"/>
        <v>-6.3514869862919363E-2</v>
      </c>
    </row>
    <row r="45" spans="1:9" x14ac:dyDescent="0.2">
      <c r="A45" s="13" t="s">
        <v>4</v>
      </c>
      <c r="B45" s="47"/>
      <c r="C45" s="36">
        <f>'[2]SPM poverty tables'!$G$842/1000</f>
        <v>400.09300000000002</v>
      </c>
      <c r="D45" s="26">
        <f t="shared" si="28"/>
        <v>0.68825034103478477</v>
      </c>
      <c r="E45" s="36">
        <f>'[3]SPM tables'!$G$842/1000</f>
        <v>396.12900000000002</v>
      </c>
      <c r="F45" s="26">
        <f t="shared" si="29"/>
        <v>0.68143136556692629</v>
      </c>
      <c r="G45" s="28">
        <f t="shared" si="2"/>
        <v>-3.9639999999999986</v>
      </c>
      <c r="H45" s="33">
        <f t="shared" si="26"/>
        <v>-0.68</v>
      </c>
      <c r="I45" s="26">
        <f t="shared" si="27"/>
        <v>-9.9076964605729137E-3</v>
      </c>
    </row>
    <row r="46" spans="1:9" x14ac:dyDescent="0.2">
      <c r="A46" s="5" t="s">
        <v>24</v>
      </c>
      <c r="B46" s="47">
        <f>'[1]ATTIS Summary Tables'!$J$844/1000</f>
        <v>995.53099999999995</v>
      </c>
      <c r="C46" s="36"/>
      <c r="D46" s="26"/>
      <c r="E46" s="36"/>
      <c r="F46" s="26"/>
      <c r="G46" s="28"/>
      <c r="H46" s="45"/>
      <c r="I46" s="26"/>
    </row>
    <row r="47" spans="1:9" x14ac:dyDescent="0.2">
      <c r="A47" s="13" t="s">
        <v>1</v>
      </c>
      <c r="B47" s="47"/>
      <c r="C47" s="36">
        <f>'[2]SPM poverty tables'!$D$844/1000</f>
        <v>28.303000000000001</v>
      </c>
      <c r="D47" s="26">
        <f>C47/$B$46</f>
        <v>2.8430053910927938E-2</v>
      </c>
      <c r="E47" s="36">
        <f>'[3]SPM tables'!$D$844/1000</f>
        <v>26.137</v>
      </c>
      <c r="F47" s="26">
        <f>E47/$B$46</f>
        <v>2.6254330603466894E-2</v>
      </c>
      <c r="G47" s="28">
        <f t="shared" si="2"/>
        <v>-2.1660000000000004</v>
      </c>
      <c r="H47" s="33">
        <f t="shared" ref="H47:H50" si="30">ROUND((F47-D47)*100,2)</f>
        <v>-0.22</v>
      </c>
      <c r="I47" s="26">
        <f t="shared" ref="I47:I50" si="31">(E47-C47)/C47</f>
        <v>-7.6528989859732194E-2</v>
      </c>
    </row>
    <row r="48" spans="1:9" x14ac:dyDescent="0.2">
      <c r="A48" s="13" t="s">
        <v>2</v>
      </c>
      <c r="B48" s="47"/>
      <c r="C48" s="36">
        <f>'[2]SPM poverty tables'!$E$844/1000</f>
        <v>202.54900000000001</v>
      </c>
      <c r="D48" s="26">
        <f t="shared" ref="D48:D50" si="32">C48/$B$46</f>
        <v>0.20345825494133282</v>
      </c>
      <c r="E48" s="36">
        <f>'[3]SPM tables'!$E$844/1000</f>
        <v>178.66800000000001</v>
      </c>
      <c r="F48" s="26">
        <f t="shared" ref="F48:F50" si="33">E48/$B$46</f>
        <v>0.17947005166087246</v>
      </c>
      <c r="G48" s="28">
        <f t="shared" si="2"/>
        <v>-23.881</v>
      </c>
      <c r="H48" s="33">
        <f t="shared" si="30"/>
        <v>-2.4</v>
      </c>
      <c r="I48" s="26">
        <f t="shared" si="31"/>
        <v>-0.11790233474369165</v>
      </c>
    </row>
    <row r="49" spans="1:9" x14ac:dyDescent="0.2">
      <c r="A49" s="13" t="s">
        <v>3</v>
      </c>
      <c r="B49" s="47"/>
      <c r="C49" s="36">
        <f>'[2]SPM poverty tables'!$F$844/1000</f>
        <v>530.75300000000004</v>
      </c>
      <c r="D49" s="26">
        <f t="shared" si="32"/>
        <v>0.53313558292006991</v>
      </c>
      <c r="E49" s="36">
        <f>'[3]SPM tables'!$F$844/1000</f>
        <v>510.053</v>
      </c>
      <c r="F49" s="26">
        <f t="shared" si="33"/>
        <v>0.5123426593446111</v>
      </c>
      <c r="G49" s="28">
        <f t="shared" si="2"/>
        <v>-20.700000000000045</v>
      </c>
      <c r="H49" s="33">
        <f t="shared" si="30"/>
        <v>-2.08</v>
      </c>
      <c r="I49" s="26">
        <f t="shared" si="31"/>
        <v>-3.900119264516648E-2</v>
      </c>
    </row>
    <row r="50" spans="1:9" x14ac:dyDescent="0.2">
      <c r="A50" s="13" t="s">
        <v>4</v>
      </c>
      <c r="B50" s="47"/>
      <c r="C50" s="36">
        <f>'[2]SPM poverty tables'!$G$843/1000</f>
        <v>176.048</v>
      </c>
      <c r="D50" s="26">
        <f t="shared" si="32"/>
        <v>0.17683829031943757</v>
      </c>
      <c r="E50" s="36">
        <f>'[3]SPM tables'!$G$843/1000</f>
        <v>174.68299999999999</v>
      </c>
      <c r="F50" s="26">
        <f t="shared" si="33"/>
        <v>0.17546716275033122</v>
      </c>
      <c r="G50" s="28">
        <f t="shared" si="2"/>
        <v>-1.3650000000000091</v>
      </c>
      <c r="H50" s="33">
        <f t="shared" si="30"/>
        <v>-0.14000000000000001</v>
      </c>
      <c r="I50" s="26">
        <f t="shared" si="31"/>
        <v>-7.7535672089430671E-3</v>
      </c>
    </row>
    <row r="51" spans="1:9" x14ac:dyDescent="0.2">
      <c r="A51" s="5" t="s">
        <v>25</v>
      </c>
      <c r="B51" s="47">
        <f>'[1]ATTIS Summary Tables'!$J$841/1000</f>
        <v>1910.53</v>
      </c>
      <c r="C51" s="36"/>
      <c r="D51" s="26"/>
      <c r="E51" s="36"/>
      <c r="F51" s="26"/>
      <c r="G51" s="28"/>
      <c r="H51" s="45"/>
      <c r="I51" s="26"/>
    </row>
    <row r="52" spans="1:9" x14ac:dyDescent="0.2">
      <c r="A52" s="13" t="s">
        <v>1</v>
      </c>
      <c r="B52" s="47"/>
      <c r="C52" s="36">
        <f>'[2]SPM poverty tables'!$D$841/1000</f>
        <v>27.898</v>
      </c>
      <c r="D52" s="26">
        <f>C52/$B$51</f>
        <v>1.4602230794596265E-2</v>
      </c>
      <c r="E52" s="36">
        <f>'[3]SPM tables'!$D$841/1000</f>
        <v>25.952000000000002</v>
      </c>
      <c r="F52" s="26">
        <f>E52/$B$51</f>
        <v>1.3583665265659269E-2</v>
      </c>
      <c r="G52" s="28">
        <f t="shared" si="2"/>
        <v>-1.945999999999998</v>
      </c>
      <c r="H52" s="33">
        <f t="shared" ref="H52:H55" si="34">ROUND((F52-D52)*100,2)</f>
        <v>-0.1</v>
      </c>
      <c r="I52" s="26">
        <f t="shared" ref="I52:I55" si="35">(E52-C52)/C52</f>
        <v>-6.9754104236862791E-2</v>
      </c>
    </row>
    <row r="53" spans="1:9" x14ac:dyDescent="0.2">
      <c r="A53" s="13" t="s">
        <v>2</v>
      </c>
      <c r="B53" s="47"/>
      <c r="C53" s="36">
        <f>'[2]SPM poverty tables'!$E$841/1000</f>
        <v>176.56100000000001</v>
      </c>
      <c r="D53" s="26">
        <f t="shared" ref="D53:D55" si="36">C53/$B$51</f>
        <v>9.2414670274740526E-2</v>
      </c>
      <c r="E53" s="36">
        <f>'[3]SPM tables'!$E$841/1000</f>
        <v>153.12799999999999</v>
      </c>
      <c r="F53" s="26">
        <f t="shared" ref="F53:F55" si="37">E53/$B$51</f>
        <v>8.0149487315038223E-2</v>
      </c>
      <c r="G53" s="28">
        <f t="shared" si="2"/>
        <v>-23.433000000000021</v>
      </c>
      <c r="H53" s="33">
        <f t="shared" si="34"/>
        <v>-1.23</v>
      </c>
      <c r="I53" s="26">
        <f t="shared" si="35"/>
        <v>-0.13271900363047343</v>
      </c>
    </row>
    <row r="54" spans="1:9" x14ac:dyDescent="0.2">
      <c r="A54" s="13" t="s">
        <v>3</v>
      </c>
      <c r="B54" s="47"/>
      <c r="C54" s="36">
        <f>'[2]SPM poverty tables'!$F$841/1000</f>
        <v>442.54300000000001</v>
      </c>
      <c r="D54" s="26">
        <f t="shared" si="36"/>
        <v>0.23163363045856386</v>
      </c>
      <c r="E54" s="36">
        <f>'[3]SPM tables'!$F$841/1000</f>
        <v>418.45299999999997</v>
      </c>
      <c r="F54" s="26">
        <f t="shared" si="37"/>
        <v>0.21902456386447738</v>
      </c>
      <c r="G54" s="28">
        <f t="shared" si="2"/>
        <v>-24.090000000000032</v>
      </c>
      <c r="H54" s="33">
        <f t="shared" si="34"/>
        <v>-1.26</v>
      </c>
      <c r="I54" s="26">
        <f t="shared" si="35"/>
        <v>-5.4435388199564859E-2</v>
      </c>
    </row>
    <row r="55" spans="1:9" x14ac:dyDescent="0.2">
      <c r="A55" s="13" t="s">
        <v>4</v>
      </c>
      <c r="B55" s="47"/>
      <c r="C55" s="36">
        <f>'[2]SPM poverty tables'!$G$841/1000</f>
        <v>698.625</v>
      </c>
      <c r="D55" s="26">
        <f t="shared" si="36"/>
        <v>0.36567078245303658</v>
      </c>
      <c r="E55" s="36">
        <f>'[3]SPM tables'!$G$841/1000</f>
        <v>684.31500000000005</v>
      </c>
      <c r="F55" s="26">
        <f t="shared" si="37"/>
        <v>0.35818071425206621</v>
      </c>
      <c r="G55" s="28">
        <f t="shared" si="2"/>
        <v>-14.309999999999945</v>
      </c>
      <c r="H55" s="33">
        <f t="shared" si="34"/>
        <v>-0.75</v>
      </c>
      <c r="I55" s="26">
        <f t="shared" si="35"/>
        <v>-2.0483091787439536E-2</v>
      </c>
    </row>
    <row r="56" spans="1:9" x14ac:dyDescent="0.2">
      <c r="A56" s="5" t="s">
        <v>60</v>
      </c>
      <c r="B56" s="47">
        <f>'[1]ATTIS Summary Tables'!$J$845/1000</f>
        <v>203.99799999999999</v>
      </c>
      <c r="C56" s="36"/>
      <c r="D56" s="26"/>
      <c r="E56" s="36"/>
      <c r="F56" s="26"/>
      <c r="G56" s="28"/>
      <c r="H56" s="45"/>
      <c r="I56" s="26"/>
    </row>
    <row r="57" spans="1:9" x14ac:dyDescent="0.2">
      <c r="A57" s="13" t="s">
        <v>1</v>
      </c>
      <c r="B57" s="47"/>
      <c r="C57" s="36">
        <f>'[2]SPM poverty tables'!$D$845/1000</f>
        <v>5.5570000000000004</v>
      </c>
      <c r="D57" s="26">
        <f>C57/$B$56</f>
        <v>2.7240463141795512E-2</v>
      </c>
      <c r="E57" s="36">
        <f>'[3]SPM tables'!$D$845/1000</f>
        <v>4.2880000000000003</v>
      </c>
      <c r="F57" s="26">
        <f>E57/$B$56</f>
        <v>2.1019813919744314E-2</v>
      </c>
      <c r="G57" s="28">
        <f t="shared" si="2"/>
        <v>-1.2690000000000001</v>
      </c>
      <c r="H57" s="38">
        <f t="shared" ref="H57:H60" si="38">ROUND((F57-D57)*100,2)</f>
        <v>-0.62</v>
      </c>
      <c r="I57" s="26">
        <f t="shared" ref="I57:I60" si="39">(E57-C57)/C57</f>
        <v>-0.22836062623717834</v>
      </c>
    </row>
    <row r="58" spans="1:9" x14ac:dyDescent="0.2">
      <c r="A58" s="13" t="s">
        <v>2</v>
      </c>
      <c r="B58" s="47"/>
      <c r="C58" s="36">
        <f>'[2]SPM poverty tables'!$E$845/1000</f>
        <v>31.452999999999999</v>
      </c>
      <c r="D58" s="37">
        <f t="shared" ref="D58:D60" si="40">C58/$B$56</f>
        <v>0.15418288414592302</v>
      </c>
      <c r="E58" s="36">
        <f>'[3]SPM tables'!$E$845/1000</f>
        <v>29.582000000000001</v>
      </c>
      <c r="F58" s="32">
        <f t="shared" ref="F58:F60" si="41">E58/$B$56</f>
        <v>0.14501122560025098</v>
      </c>
      <c r="G58" s="28">
        <f t="shared" si="2"/>
        <v>-1.8709999999999987</v>
      </c>
      <c r="H58" s="38">
        <f t="shared" si="38"/>
        <v>-0.92</v>
      </c>
      <c r="I58" s="26">
        <f t="shared" si="39"/>
        <v>-5.9485581661526683E-2</v>
      </c>
    </row>
    <row r="59" spans="1:9" x14ac:dyDescent="0.2">
      <c r="A59" s="13" t="s">
        <v>3</v>
      </c>
      <c r="B59" s="47"/>
      <c r="C59" s="36">
        <f>'[2]SPM poverty tables'!$F$845/1000</f>
        <v>73.986000000000004</v>
      </c>
      <c r="D59" s="37">
        <f t="shared" si="40"/>
        <v>0.36268002627476742</v>
      </c>
      <c r="E59" s="36">
        <f>'[3]SPM tables'!$F$845/1000</f>
        <v>70.694999999999993</v>
      </c>
      <c r="F59" s="32">
        <f t="shared" si="41"/>
        <v>0.34654751517171734</v>
      </c>
      <c r="G59" s="28">
        <f t="shared" si="2"/>
        <v>-3.291000000000011</v>
      </c>
      <c r="H59" s="38">
        <f t="shared" si="38"/>
        <v>-1.61</v>
      </c>
      <c r="I59" s="26">
        <f t="shared" si="39"/>
        <v>-4.4481388370772992E-2</v>
      </c>
    </row>
    <row r="60" spans="1:9" ht="13.5" thickBot="1" x14ac:dyDescent="0.25">
      <c r="A60" s="16" t="s">
        <v>4</v>
      </c>
      <c r="B60" s="48"/>
      <c r="C60" s="39">
        <f>'[2]SPM poverty tables'!$G$845/1000</f>
        <v>104.681</v>
      </c>
      <c r="D60" s="40">
        <f t="shared" si="40"/>
        <v>0.51314718771752665</v>
      </c>
      <c r="E60" s="39">
        <f>'[3]SPM tables'!$G$845/1000</f>
        <v>104.009</v>
      </c>
      <c r="F60" s="41">
        <f t="shared" si="41"/>
        <v>0.50985303777488022</v>
      </c>
      <c r="G60" s="28">
        <f t="shared" si="2"/>
        <v>-0.67199999999999704</v>
      </c>
      <c r="H60" s="43">
        <f t="shared" si="38"/>
        <v>-0.33</v>
      </c>
      <c r="I60" s="26">
        <f t="shared" si="39"/>
        <v>-6.4195030616826078E-3</v>
      </c>
    </row>
    <row r="61" spans="1:9" ht="12.75" customHeight="1" x14ac:dyDescent="0.2">
      <c r="A61" s="78" t="s">
        <v>86</v>
      </c>
      <c r="B61" s="78"/>
      <c r="C61" s="78"/>
      <c r="D61" s="78"/>
      <c r="E61" s="78"/>
      <c r="F61" s="78"/>
      <c r="G61" s="78"/>
      <c r="H61" s="78"/>
      <c r="I61" s="78"/>
    </row>
    <row r="62" spans="1:9" ht="53.25" customHeight="1" x14ac:dyDescent="0.2">
      <c r="A62" s="75" t="s">
        <v>94</v>
      </c>
      <c r="B62" s="75"/>
      <c r="C62" s="75"/>
      <c r="D62" s="75"/>
      <c r="E62" s="75"/>
      <c r="F62" s="75"/>
      <c r="G62" s="75"/>
      <c r="H62" s="75"/>
      <c r="I62" s="75"/>
    </row>
  </sheetData>
  <mergeCells count="4">
    <mergeCell ref="E5:I5"/>
    <mergeCell ref="E4:G4"/>
    <mergeCell ref="A61:I61"/>
    <mergeCell ref="A62:I62"/>
  </mergeCells>
  <pageMargins left="0.7" right="0.7" top="0.75" bottom="0.75" header="0.3" footer="0.3"/>
  <pageSetup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B820-5BD0-4C50-8B31-2ED327BA7BA8}">
  <dimension ref="A1:J48"/>
  <sheetViews>
    <sheetView zoomScaleNormal="100" workbookViewId="0">
      <selection activeCell="K11" sqref="K11"/>
    </sheetView>
  </sheetViews>
  <sheetFormatPr defaultColWidth="9.140625" defaultRowHeight="12.75" x14ac:dyDescent="0.2"/>
  <cols>
    <col min="1" max="1" width="48.85546875" style="1" customWidth="1"/>
    <col min="2" max="2" width="12.28515625" style="17" customWidth="1"/>
    <col min="3" max="3" width="10.85546875" style="17" customWidth="1"/>
    <col min="4" max="4" width="15.140625" style="17" customWidth="1"/>
    <col min="5" max="5" width="10.140625" style="17" customWidth="1"/>
    <col min="6" max="6" width="14" style="17" customWidth="1"/>
    <col min="7" max="7" width="14.140625" style="17" customWidth="1"/>
    <col min="8" max="8" width="15.85546875" style="17" customWidth="1"/>
    <col min="9" max="9" width="13.85546875" style="17" customWidth="1"/>
    <col min="10" max="16384" width="9.140625" style="1"/>
  </cols>
  <sheetData>
    <row r="1" spans="1:10" x14ac:dyDescent="0.2">
      <c r="A1" s="6" t="s">
        <v>80</v>
      </c>
      <c r="B1" s="25"/>
    </row>
    <row r="2" spans="1:10" x14ac:dyDescent="0.2">
      <c r="A2" s="6" t="s">
        <v>142</v>
      </c>
      <c r="B2" s="25"/>
    </row>
    <row r="3" spans="1:10" x14ac:dyDescent="0.2">
      <c r="A3" s="70" t="s">
        <v>136</v>
      </c>
      <c r="B3" s="25"/>
    </row>
    <row r="4" spans="1:10" x14ac:dyDescent="0.2">
      <c r="A4" s="1" t="s">
        <v>112</v>
      </c>
      <c r="E4" s="72"/>
      <c r="F4" s="72"/>
      <c r="G4" s="72"/>
    </row>
    <row r="5" spans="1:10" ht="28.5" customHeight="1" thickBot="1" x14ac:dyDescent="0.25">
      <c r="E5" s="73" t="s">
        <v>137</v>
      </c>
      <c r="F5" s="73"/>
      <c r="G5" s="73"/>
      <c r="H5" s="73"/>
      <c r="I5" s="73"/>
      <c r="J5" s="17"/>
    </row>
    <row r="6" spans="1:10" ht="55.9" customHeight="1" thickBot="1" x14ac:dyDescent="0.25">
      <c r="A6" s="3"/>
      <c r="B6" s="18" t="s">
        <v>72</v>
      </c>
      <c r="C6" s="23" t="s">
        <v>100</v>
      </c>
      <c r="D6" s="23" t="s">
        <v>99</v>
      </c>
      <c r="E6" s="24" t="s">
        <v>101</v>
      </c>
      <c r="F6" s="23" t="s">
        <v>98</v>
      </c>
      <c r="G6" s="23" t="s">
        <v>73</v>
      </c>
      <c r="H6" s="23" t="s">
        <v>74</v>
      </c>
      <c r="I6" s="23" t="s">
        <v>77</v>
      </c>
      <c r="J6" s="9"/>
    </row>
    <row r="7" spans="1:10" ht="15" x14ac:dyDescent="0.2">
      <c r="A7" s="1" t="s">
        <v>96</v>
      </c>
      <c r="B7" s="49">
        <f>'[1]ATTIS Summary Tables'!$C$172</f>
        <v>8068</v>
      </c>
      <c r="C7" s="50"/>
      <c r="D7" s="51"/>
      <c r="E7" s="50"/>
      <c r="F7" s="52"/>
      <c r="G7" s="28"/>
      <c r="H7" s="45"/>
      <c r="I7" s="26"/>
    </row>
    <row r="8" spans="1:10" ht="15" x14ac:dyDescent="0.2">
      <c r="A8" s="12" t="s">
        <v>93</v>
      </c>
      <c r="B8" s="53"/>
      <c r="C8" s="54"/>
      <c r="D8" s="55"/>
      <c r="E8" s="54"/>
      <c r="F8" s="56"/>
      <c r="H8" s="57"/>
    </row>
    <row r="9" spans="1:10" x14ac:dyDescent="0.2">
      <c r="A9" s="5" t="s">
        <v>1</v>
      </c>
      <c r="B9" s="47"/>
      <c r="C9" s="36">
        <f>'[2]SPM poverty tables'!$C$215</f>
        <v>442</v>
      </c>
      <c r="D9" s="37">
        <f>C9/$B$7</f>
        <v>5.4784333168071395E-2</v>
      </c>
      <c r="E9" s="36">
        <f>'[3]SPM tables'!$C$215</f>
        <v>434</v>
      </c>
      <c r="F9" s="32">
        <f>E9/$B$7</f>
        <v>5.3792761527020325E-2</v>
      </c>
      <c r="G9" s="28">
        <f>E9-C9</f>
        <v>-8</v>
      </c>
      <c r="H9" s="33">
        <f>ROUND((F9-D9)*100,2)</f>
        <v>-0.1</v>
      </c>
      <c r="I9" s="26">
        <f>(E9-C9)/C9</f>
        <v>-1.8099547511312219E-2</v>
      </c>
    </row>
    <row r="10" spans="1:10" x14ac:dyDescent="0.2">
      <c r="A10" s="5" t="s">
        <v>2</v>
      </c>
      <c r="B10" s="47"/>
      <c r="C10" s="36">
        <f>SUM('[2]SPM poverty tables'!$C$215:$C$218)</f>
        <v>1308</v>
      </c>
      <c r="D10" s="37">
        <f t="shared" ref="D10:F12" si="0">C10/$B$7</f>
        <v>0.16212196331184928</v>
      </c>
      <c r="E10" s="36">
        <f>SUM('[3]SPM tables'!$C$215:$C$218)</f>
        <v>1272</v>
      </c>
      <c r="F10" s="32">
        <f t="shared" si="0"/>
        <v>0.15765989092711949</v>
      </c>
      <c r="G10" s="28">
        <f t="shared" ref="G10:G46" si="1">E10-C10</f>
        <v>-36</v>
      </c>
      <c r="H10" s="33">
        <f t="shared" ref="H10:H12" si="2">ROUND((F10-D10)*100,2)</f>
        <v>-0.45</v>
      </c>
      <c r="I10" s="26">
        <f t="shared" ref="I10:I12" si="3">(E10-C10)/C10</f>
        <v>-2.7522935779816515E-2</v>
      </c>
    </row>
    <row r="11" spans="1:10" x14ac:dyDescent="0.2">
      <c r="A11" s="5" t="s">
        <v>3</v>
      </c>
      <c r="B11" s="47"/>
      <c r="C11" s="36">
        <f>SUM('[2]SPM poverty tables'!$C$215:$C$220)</f>
        <v>2639</v>
      </c>
      <c r="D11" s="37">
        <f t="shared" si="0"/>
        <v>0.3270946950917204</v>
      </c>
      <c r="E11" s="36">
        <f>SUM('[3]SPM tables'!$C$215:$C$220)</f>
        <v>2599</v>
      </c>
      <c r="F11" s="32">
        <f t="shared" si="0"/>
        <v>0.32213683688646505</v>
      </c>
      <c r="G11" s="28">
        <f t="shared" si="1"/>
        <v>-40</v>
      </c>
      <c r="H11" s="33">
        <f t="shared" si="2"/>
        <v>-0.5</v>
      </c>
      <c r="I11" s="26">
        <f t="shared" si="3"/>
        <v>-1.5157256536566882E-2</v>
      </c>
    </row>
    <row r="12" spans="1:10" x14ac:dyDescent="0.2">
      <c r="A12" s="5" t="s">
        <v>4</v>
      </c>
      <c r="B12" s="47"/>
      <c r="C12" s="36">
        <f>SUM('[2]SPM poverty tables'!$C$215:$C$222)</f>
        <v>3570</v>
      </c>
      <c r="D12" s="37">
        <f t="shared" si="0"/>
        <v>0.44248884481903816</v>
      </c>
      <c r="E12" s="36">
        <f>SUM('[3]SPM tables'!$C$215:$C$222)</f>
        <v>3552</v>
      </c>
      <c r="F12" s="32">
        <f t="shared" si="0"/>
        <v>0.4402578086266733</v>
      </c>
      <c r="G12" s="28">
        <f t="shared" si="1"/>
        <v>-18</v>
      </c>
      <c r="H12" s="33">
        <f t="shared" si="2"/>
        <v>-0.22</v>
      </c>
      <c r="I12" s="26">
        <f t="shared" si="3"/>
        <v>-5.0420168067226894E-3</v>
      </c>
    </row>
    <row r="13" spans="1:10" x14ac:dyDescent="0.2">
      <c r="A13" s="7" t="s">
        <v>129</v>
      </c>
      <c r="B13" s="47">
        <f>'[1]ATTIS Summary Tables'!$C$172-'[1]ATTIS Summary Tables'!$D$172</f>
        <v>5981</v>
      </c>
      <c r="C13" s="36"/>
      <c r="D13" s="37"/>
      <c r="E13" s="36"/>
      <c r="F13" s="32"/>
      <c r="G13" s="28"/>
      <c r="H13" s="45"/>
      <c r="I13" s="26"/>
    </row>
    <row r="14" spans="1:10" x14ac:dyDescent="0.2">
      <c r="A14" s="12" t="s">
        <v>20</v>
      </c>
      <c r="B14" s="46"/>
      <c r="C14" s="36"/>
      <c r="D14" s="58"/>
      <c r="E14" s="34"/>
      <c r="F14" s="59"/>
      <c r="G14" s="28"/>
      <c r="H14" s="35"/>
      <c r="I14" s="26"/>
    </row>
    <row r="15" spans="1:10" ht="14.25" customHeight="1" x14ac:dyDescent="0.2">
      <c r="A15" s="5" t="s">
        <v>1</v>
      </c>
      <c r="B15" s="47"/>
      <c r="C15" s="36">
        <f>'[2]SPM poverty tables'!$C$215-'[2]SPM poverty tables'!$D$215</f>
        <v>393</v>
      </c>
      <c r="D15" s="37">
        <f>C15/$B$13</f>
        <v>6.5708075572646713E-2</v>
      </c>
      <c r="E15" s="36">
        <f>'[3]SPM tables'!$C$215-'[3]SPM tables'!$D$215</f>
        <v>389</v>
      </c>
      <c r="F15" s="32">
        <f>E15/$B$13</f>
        <v>6.5039291088446749E-2</v>
      </c>
      <c r="G15" s="28">
        <f t="shared" si="1"/>
        <v>-4</v>
      </c>
      <c r="H15" s="33">
        <f t="shared" ref="H15:H18" si="4">ROUND((F15-D15)*100,2)</f>
        <v>-7.0000000000000007E-2</v>
      </c>
      <c r="I15" s="26">
        <f t="shared" ref="I15:I18" si="5">(E15-C15)/C15</f>
        <v>-1.0178117048346057E-2</v>
      </c>
    </row>
    <row r="16" spans="1:10" x14ac:dyDescent="0.2">
      <c r="A16" s="5" t="s">
        <v>2</v>
      </c>
      <c r="B16" s="47"/>
      <c r="C16" s="36">
        <f>SUM('[2]SPM poverty tables'!$C$215:$C$218)-SUM('[2]SPM poverty tables'!$D$215:$D$218)</f>
        <v>1028</v>
      </c>
      <c r="D16" s="37">
        <f t="shared" ref="D16:F18" si="6">C16/$B$13</f>
        <v>0.1718776124393914</v>
      </c>
      <c r="E16" s="36">
        <f>SUM('[3]SPM tables'!$C$215:$C$218)-SUM('[3]SPM tables'!$D$215:$D$218)</f>
        <v>1022</v>
      </c>
      <c r="F16" s="32">
        <f t="shared" si="6"/>
        <v>0.17087443571309147</v>
      </c>
      <c r="G16" s="28">
        <f t="shared" si="1"/>
        <v>-6</v>
      </c>
      <c r="H16" s="33">
        <f t="shared" si="4"/>
        <v>-0.1</v>
      </c>
      <c r="I16" s="26">
        <f t="shared" si="5"/>
        <v>-5.8365758754863814E-3</v>
      </c>
    </row>
    <row r="17" spans="1:9" x14ac:dyDescent="0.2">
      <c r="A17" s="5" t="s">
        <v>3</v>
      </c>
      <c r="B17" s="47"/>
      <c r="C17" s="36">
        <f>SUM('[2]SPM poverty tables'!$C$215:$C$220)-SUM('[2]SPM poverty tables'!$D$215:$D$220)</f>
        <v>1916</v>
      </c>
      <c r="D17" s="37">
        <f t="shared" si="6"/>
        <v>0.32034776793178399</v>
      </c>
      <c r="E17" s="36">
        <f>SUM('[3]SPM tables'!$C$215:$C$220)-SUM('[3]SPM tables'!$D$215:$D$220)</f>
        <v>1906</v>
      </c>
      <c r="F17" s="32">
        <f t="shared" si="6"/>
        <v>0.31867580672128409</v>
      </c>
      <c r="G17" s="28">
        <f t="shared" si="1"/>
        <v>-10</v>
      </c>
      <c r="H17" s="33">
        <f t="shared" si="4"/>
        <v>-0.17</v>
      </c>
      <c r="I17" s="26">
        <f t="shared" si="5"/>
        <v>-5.2192066805845511E-3</v>
      </c>
    </row>
    <row r="18" spans="1:9" x14ac:dyDescent="0.2">
      <c r="A18" s="5" t="s">
        <v>4</v>
      </c>
      <c r="B18" s="47"/>
      <c r="C18" s="36">
        <f>SUM('[2]SPM poverty tables'!$C$215:$C$222)-SUM('[2]SPM poverty tables'!$D$215:$D$222)</f>
        <v>2532</v>
      </c>
      <c r="D18" s="37">
        <f t="shared" si="6"/>
        <v>0.42334057849857881</v>
      </c>
      <c r="E18" s="36">
        <f>SUM('[3]SPM tables'!$C$215:$C$222)-SUM('[3]SPM tables'!$D$215:$D$222)</f>
        <v>2527</v>
      </c>
      <c r="F18" s="32">
        <f t="shared" si="6"/>
        <v>0.42250459789332889</v>
      </c>
      <c r="G18" s="28">
        <f t="shared" si="1"/>
        <v>-5</v>
      </c>
      <c r="H18" s="33">
        <f t="shared" si="4"/>
        <v>-0.08</v>
      </c>
      <c r="I18" s="26">
        <f t="shared" si="5"/>
        <v>-1.9747235387045812E-3</v>
      </c>
    </row>
    <row r="19" spans="1:9" x14ac:dyDescent="0.2">
      <c r="A19" s="1" t="s">
        <v>69</v>
      </c>
      <c r="B19" s="47">
        <f>'[1]ATTIS Summary Tables'!$D$172</f>
        <v>2087</v>
      </c>
      <c r="C19" s="36"/>
      <c r="D19" s="37"/>
      <c r="E19" s="36"/>
      <c r="F19" s="32"/>
      <c r="G19" s="28"/>
      <c r="H19" s="45"/>
      <c r="I19" s="26"/>
    </row>
    <row r="20" spans="1:9" x14ac:dyDescent="0.2">
      <c r="A20" s="12" t="s">
        <v>20</v>
      </c>
      <c r="B20" s="46"/>
      <c r="C20" s="34"/>
      <c r="D20" s="58"/>
      <c r="E20" s="34"/>
      <c r="F20" s="59"/>
      <c r="G20" s="28"/>
      <c r="H20" s="35"/>
      <c r="I20" s="26"/>
    </row>
    <row r="21" spans="1:9" x14ac:dyDescent="0.2">
      <c r="A21" s="5" t="s">
        <v>1</v>
      </c>
      <c r="B21" s="47"/>
      <c r="C21" s="36">
        <f>'[2]SPM poverty tables'!$D$215</f>
        <v>49</v>
      </c>
      <c r="D21" s="37">
        <f>C21/$B$19</f>
        <v>2.3478677527551509E-2</v>
      </c>
      <c r="E21" s="36">
        <f>'[3]SPM tables'!$D$215</f>
        <v>45</v>
      </c>
      <c r="F21" s="32">
        <f>E21/$B$19</f>
        <v>2.1562050790608529E-2</v>
      </c>
      <c r="G21" s="28">
        <f t="shared" si="1"/>
        <v>-4</v>
      </c>
      <c r="H21" s="33">
        <f t="shared" ref="H21:H24" si="7">ROUND((F21-D21)*100,2)</f>
        <v>-0.19</v>
      </c>
      <c r="I21" s="26">
        <f t="shared" ref="I21:I24" si="8">(E21-C21)/C21</f>
        <v>-8.1632653061224483E-2</v>
      </c>
    </row>
    <row r="22" spans="1:9" x14ac:dyDescent="0.2">
      <c r="A22" s="5" t="s">
        <v>2</v>
      </c>
      <c r="B22" s="47"/>
      <c r="C22" s="36">
        <f>SUM('[2]SPM poverty tables'!$D$215:$D$218)</f>
        <v>280</v>
      </c>
      <c r="D22" s="37">
        <f t="shared" ref="D22:F24" si="9">C22/$B$19</f>
        <v>0.13416387158600862</v>
      </c>
      <c r="E22" s="36">
        <f>SUM('[3]SPM tables'!$D$215:$D$218)</f>
        <v>250</v>
      </c>
      <c r="F22" s="32">
        <f t="shared" si="9"/>
        <v>0.11978917105893627</v>
      </c>
      <c r="G22" s="28">
        <f t="shared" si="1"/>
        <v>-30</v>
      </c>
      <c r="H22" s="33">
        <f t="shared" si="7"/>
        <v>-1.44</v>
      </c>
      <c r="I22" s="26">
        <f t="shared" si="8"/>
        <v>-0.10714285714285714</v>
      </c>
    </row>
    <row r="23" spans="1:9" x14ac:dyDescent="0.2">
      <c r="A23" s="5" t="s">
        <v>3</v>
      </c>
      <c r="B23" s="47"/>
      <c r="C23" s="36">
        <f>SUM('[2]SPM poverty tables'!$D$215:$D$220)</f>
        <v>723</v>
      </c>
      <c r="D23" s="37">
        <f t="shared" si="9"/>
        <v>0.34643028270244369</v>
      </c>
      <c r="E23" s="36">
        <f>SUM('[3]SPM tables'!$D$215:$D$220)</f>
        <v>693</v>
      </c>
      <c r="F23" s="32">
        <f t="shared" si="9"/>
        <v>0.33205558217537134</v>
      </c>
      <c r="G23" s="28">
        <f t="shared" si="1"/>
        <v>-30</v>
      </c>
      <c r="H23" s="33">
        <f t="shared" si="7"/>
        <v>-1.44</v>
      </c>
      <c r="I23" s="26">
        <f t="shared" si="8"/>
        <v>-4.1493775933609957E-2</v>
      </c>
    </row>
    <row r="24" spans="1:9" x14ac:dyDescent="0.2">
      <c r="A24" s="5" t="s">
        <v>4</v>
      </c>
      <c r="B24" s="47"/>
      <c r="C24" s="36">
        <f>SUM('[2]SPM poverty tables'!$D$215:$D$222)</f>
        <v>1038</v>
      </c>
      <c r="D24" s="37">
        <f t="shared" si="9"/>
        <v>0.4973646382367034</v>
      </c>
      <c r="E24" s="36">
        <f>SUM('[3]SPM tables'!$D$215:$D$222)</f>
        <v>1025</v>
      </c>
      <c r="F24" s="32">
        <f t="shared" si="9"/>
        <v>0.49113560134163869</v>
      </c>
      <c r="G24" s="28">
        <f t="shared" si="1"/>
        <v>-13</v>
      </c>
      <c r="H24" s="33">
        <f t="shared" si="7"/>
        <v>-0.62</v>
      </c>
      <c r="I24" s="26">
        <f t="shared" si="8"/>
        <v>-1.2524084778420038E-2</v>
      </c>
    </row>
    <row r="25" spans="1:9" x14ac:dyDescent="0.2">
      <c r="A25" s="12" t="s">
        <v>26</v>
      </c>
      <c r="B25" s="46"/>
      <c r="C25" s="34"/>
      <c r="D25" s="58"/>
      <c r="E25" s="34"/>
      <c r="F25" s="59"/>
      <c r="G25" s="28"/>
      <c r="H25" s="45"/>
      <c r="I25" s="26"/>
    </row>
    <row r="26" spans="1:9" x14ac:dyDescent="0.2">
      <c r="A26" s="5" t="s">
        <v>7</v>
      </c>
      <c r="B26" s="47">
        <f>'[1]ATTIS Summary Tables'!$D$172-'[1]ATTIS Summary Tables'!$G$172-'[1]ATTIS Summary Tables'!$H$172</f>
        <v>1326</v>
      </c>
      <c r="C26" s="36"/>
      <c r="D26" s="37"/>
      <c r="E26" s="36"/>
      <c r="F26" s="32"/>
      <c r="G26" s="28"/>
      <c r="H26" s="45"/>
      <c r="I26" s="26"/>
    </row>
    <row r="27" spans="1:9" x14ac:dyDescent="0.2">
      <c r="A27" s="13" t="s">
        <v>1</v>
      </c>
      <c r="B27" s="47"/>
      <c r="C27" s="36">
        <f>'[2]SPM poverty tables'!$D$215-'[2]SPM poverty tables'!$G$215-'[2]SPM poverty tables'!$H$215</f>
        <v>16</v>
      </c>
      <c r="D27" s="37">
        <f>C27/$B$26</f>
        <v>1.2066365007541479E-2</v>
      </c>
      <c r="E27" s="36">
        <f>'[3]SPM tables'!$D$215-'[3]SPM tables'!$G$215-'[3]SPM tables'!$H$215</f>
        <v>14</v>
      </c>
      <c r="F27" s="32">
        <f>E27/$B$26</f>
        <v>1.0558069381598794E-2</v>
      </c>
      <c r="G27" s="28">
        <f t="shared" si="1"/>
        <v>-2</v>
      </c>
      <c r="H27" s="33">
        <f t="shared" ref="H27:H30" si="10">ROUND((F27-D27)*100,2)</f>
        <v>-0.15</v>
      </c>
      <c r="I27" s="26">
        <f t="shared" ref="I27:I30" si="11">(E27-C27)/C27</f>
        <v>-0.125</v>
      </c>
    </row>
    <row r="28" spans="1:9" x14ac:dyDescent="0.2">
      <c r="A28" s="13" t="s">
        <v>2</v>
      </c>
      <c r="B28" s="47"/>
      <c r="C28" s="36">
        <f>SUM('[2]SPM poverty tables'!$D$215:$D$218)-SUM('[2]SPM poverty tables'!$G$215:$G$218)-SUM('[2]SPM poverty tables'!$H$215:$H$218)</f>
        <v>113</v>
      </c>
      <c r="D28" s="37">
        <f t="shared" ref="D28:F30" si="12">C28/$B$26</f>
        <v>8.5218702865761692E-2</v>
      </c>
      <c r="E28" s="36">
        <f>SUM('[3]SPM tables'!$D$215:$D$218)-SUM('[3]SPM tables'!$G$215:$G$218)-SUM('[3]SPM tables'!$H$215:$H$218)</f>
        <v>96</v>
      </c>
      <c r="F28" s="32">
        <f t="shared" si="12"/>
        <v>7.2398190045248875E-2</v>
      </c>
      <c r="G28" s="28">
        <f t="shared" si="1"/>
        <v>-17</v>
      </c>
      <c r="H28" s="33">
        <f t="shared" si="10"/>
        <v>-1.28</v>
      </c>
      <c r="I28" s="26">
        <f t="shared" si="11"/>
        <v>-0.15044247787610621</v>
      </c>
    </row>
    <row r="29" spans="1:9" x14ac:dyDescent="0.2">
      <c r="A29" s="13" t="s">
        <v>3</v>
      </c>
      <c r="B29" s="47"/>
      <c r="C29" s="36">
        <f>SUM('[2]SPM poverty tables'!$D$215:$D$220)-SUM('[2]SPM poverty tables'!$G$215:$G$220)-SUM('[2]SPM poverty tables'!$H$215:$H$220)</f>
        <v>318</v>
      </c>
      <c r="D29" s="37">
        <f t="shared" si="12"/>
        <v>0.23981900452488689</v>
      </c>
      <c r="E29" s="36">
        <f>SUM('[3]SPM tables'!$D$215:$D$220)-SUM('[3]SPM tables'!$G$215:$G$220)-SUM('[3]SPM tables'!$H$215:$H$220)</f>
        <v>304</v>
      </c>
      <c r="F29" s="32">
        <f t="shared" si="12"/>
        <v>0.22926093514328807</v>
      </c>
      <c r="G29" s="28">
        <f t="shared" si="1"/>
        <v>-14</v>
      </c>
      <c r="H29" s="33">
        <f t="shared" si="10"/>
        <v>-1.06</v>
      </c>
      <c r="I29" s="26">
        <f t="shared" si="11"/>
        <v>-4.40251572327044E-2</v>
      </c>
    </row>
    <row r="30" spans="1:9" x14ac:dyDescent="0.2">
      <c r="A30" s="13" t="s">
        <v>4</v>
      </c>
      <c r="B30" s="47"/>
      <c r="C30" s="36">
        <f>SUM('[2]SPM poverty tables'!$D$215:$D$222)-SUM('[2]SPM poverty tables'!$G$215:$G$222)-SUM('[2]SPM poverty tables'!$H$215:$H$222)</f>
        <v>495</v>
      </c>
      <c r="D30" s="37">
        <f t="shared" si="12"/>
        <v>0.37330316742081449</v>
      </c>
      <c r="E30" s="36">
        <f>SUM('[3]SPM tables'!$D$215:$D$222)-SUM('[3]SPM tables'!$G$215:$G$222)-SUM('[3]SPM tables'!$H$215:$H$222)</f>
        <v>486</v>
      </c>
      <c r="F30" s="32">
        <f t="shared" si="12"/>
        <v>0.36651583710407237</v>
      </c>
      <c r="G30" s="28">
        <f t="shared" si="1"/>
        <v>-9</v>
      </c>
      <c r="H30" s="33">
        <f t="shared" si="10"/>
        <v>-0.68</v>
      </c>
      <c r="I30" s="26">
        <f t="shared" si="11"/>
        <v>-1.8181818181818181E-2</v>
      </c>
    </row>
    <row r="31" spans="1:9" x14ac:dyDescent="0.2">
      <c r="A31" s="5" t="s">
        <v>102</v>
      </c>
      <c r="B31" s="47">
        <f>'[1]ATTIS Summary Tables'!$G$172+'[1]ATTIS Summary Tables'!$H$172</f>
        <v>761</v>
      </c>
      <c r="C31" s="36"/>
      <c r="D31" s="37"/>
      <c r="E31" s="36"/>
      <c r="F31" s="32"/>
      <c r="G31" s="28"/>
      <c r="H31" s="45"/>
      <c r="I31" s="26"/>
    </row>
    <row r="32" spans="1:9" x14ac:dyDescent="0.2">
      <c r="A32" s="13" t="s">
        <v>1</v>
      </c>
      <c r="B32" s="47"/>
      <c r="C32" s="36">
        <f>SUM('[2]SPM poverty tables'!$G$215:$H$215)</f>
        <v>33</v>
      </c>
      <c r="D32" s="37">
        <f>C32/$B$31</f>
        <v>4.3363994743758211E-2</v>
      </c>
      <c r="E32" s="36">
        <f>SUM('[3]SPM tables'!$G$215:$H$215)</f>
        <v>31</v>
      </c>
      <c r="F32" s="32">
        <f>E32/$B$31</f>
        <v>4.0735873850197106E-2</v>
      </c>
      <c r="G32" s="28">
        <f t="shared" si="1"/>
        <v>-2</v>
      </c>
      <c r="H32" s="33">
        <f t="shared" ref="H32:H35" si="13">ROUND((F32-D32)*100,2)</f>
        <v>-0.26</v>
      </c>
      <c r="I32" s="26">
        <f t="shared" ref="I32:I35" si="14">(E32-C32)/C32</f>
        <v>-6.0606060606060608E-2</v>
      </c>
    </row>
    <row r="33" spans="1:9" x14ac:dyDescent="0.2">
      <c r="A33" s="13" t="s">
        <v>2</v>
      </c>
      <c r="B33" s="47"/>
      <c r="C33" s="36">
        <f>SUM('[2]SPM poverty tables'!$G$215:$H$218)</f>
        <v>167</v>
      </c>
      <c r="D33" s="37">
        <f t="shared" ref="D33:F35" si="15">C33/$B$31</f>
        <v>0.21944809461235218</v>
      </c>
      <c r="E33" s="36">
        <f>SUM('[3]SPM tables'!$G$215:$H$218)</f>
        <v>154</v>
      </c>
      <c r="F33" s="32">
        <f t="shared" si="15"/>
        <v>0.202365308804205</v>
      </c>
      <c r="G33" s="28">
        <f t="shared" si="1"/>
        <v>-13</v>
      </c>
      <c r="H33" s="33">
        <f t="shared" si="13"/>
        <v>-1.71</v>
      </c>
      <c r="I33" s="26">
        <f t="shared" si="14"/>
        <v>-7.7844311377245512E-2</v>
      </c>
    </row>
    <row r="34" spans="1:9" x14ac:dyDescent="0.2">
      <c r="A34" s="13" t="s">
        <v>3</v>
      </c>
      <c r="B34" s="47"/>
      <c r="C34" s="36">
        <f>SUM('[2]SPM poverty tables'!$G$215:$H$220)</f>
        <v>405</v>
      </c>
      <c r="D34" s="37">
        <f t="shared" si="15"/>
        <v>0.53219448094612354</v>
      </c>
      <c r="E34" s="36">
        <f>SUM('[3]SPM tables'!$G$215:$H$220)</f>
        <v>389</v>
      </c>
      <c r="F34" s="32">
        <f t="shared" si="15"/>
        <v>0.51116951379763464</v>
      </c>
      <c r="G34" s="28">
        <f t="shared" si="1"/>
        <v>-16</v>
      </c>
      <c r="H34" s="33">
        <f t="shared" si="13"/>
        <v>-2.1</v>
      </c>
      <c r="I34" s="26">
        <f t="shared" si="14"/>
        <v>-3.9506172839506172E-2</v>
      </c>
    </row>
    <row r="35" spans="1:9" x14ac:dyDescent="0.2">
      <c r="A35" s="13" t="s">
        <v>4</v>
      </c>
      <c r="B35" s="47"/>
      <c r="C35" s="36">
        <f>SUM('[2]SPM poverty tables'!$G$215:$H$222)</f>
        <v>543</v>
      </c>
      <c r="D35" s="37">
        <f t="shared" si="15"/>
        <v>0.71353482260183965</v>
      </c>
      <c r="E35" s="36">
        <f>SUM('[3]SPM tables'!$G$215:$H$222)</f>
        <v>539</v>
      </c>
      <c r="F35" s="32">
        <f t="shared" si="15"/>
        <v>0.70827858081471751</v>
      </c>
      <c r="G35" s="28">
        <f t="shared" si="1"/>
        <v>-4</v>
      </c>
      <c r="H35" s="33">
        <f t="shared" si="13"/>
        <v>-0.53</v>
      </c>
      <c r="I35" s="26">
        <f t="shared" si="14"/>
        <v>-7.3664825046040518E-3</v>
      </c>
    </row>
    <row r="36" spans="1:9" x14ac:dyDescent="0.2">
      <c r="A36" s="12" t="s">
        <v>68</v>
      </c>
      <c r="B36" s="46"/>
      <c r="C36" s="34"/>
      <c r="D36" s="37"/>
      <c r="E36" s="34"/>
      <c r="F36" s="32"/>
      <c r="G36" s="28"/>
      <c r="H36" s="45"/>
      <c r="I36" s="26"/>
    </row>
    <row r="37" spans="1:9" x14ac:dyDescent="0.2">
      <c r="A37" s="5" t="s">
        <v>28</v>
      </c>
      <c r="B37" s="47">
        <f>('[1]ATTIS Summary Tables'!$H$2651-'[1]ATTIS Summary Tables'!$H$2631)/1000</f>
        <v>1213.3720000000001</v>
      </c>
      <c r="C37" s="36"/>
      <c r="D37" s="37"/>
      <c r="E37" s="36"/>
      <c r="F37" s="32"/>
      <c r="G37" s="28"/>
      <c r="H37" s="45"/>
      <c r="I37" s="26"/>
    </row>
    <row r="38" spans="1:9" x14ac:dyDescent="0.2">
      <c r="A38" s="13" t="s">
        <v>1</v>
      </c>
      <c r="B38" s="47"/>
      <c r="C38" s="36">
        <f>('[2]SPM poverty tables'!$C$2651-'[2]SPM poverty tables'!$C$2631)/1000</f>
        <v>23.302</v>
      </c>
      <c r="D38" s="37">
        <f>C38/$B$37</f>
        <v>1.9204333048727016E-2</v>
      </c>
      <c r="E38" s="36">
        <f>('[3]SPM tables'!$C$2651-'[3]SPM tables'!$C$2631)/1000</f>
        <v>21.68</v>
      </c>
      <c r="F38" s="32">
        <f>E38/$B$37</f>
        <v>1.7867562462295157E-2</v>
      </c>
      <c r="G38" s="28">
        <f t="shared" si="1"/>
        <v>-1.6219999999999999</v>
      </c>
      <c r="H38" s="33">
        <f t="shared" ref="H38:H41" si="16">ROUND((F38-D38)*100,2)</f>
        <v>-0.13</v>
      </c>
      <c r="I38" s="26">
        <f t="shared" ref="I38:I41" si="17">(E38-C38)/C38</f>
        <v>-6.9607758990644572E-2</v>
      </c>
    </row>
    <row r="39" spans="1:9" x14ac:dyDescent="0.2">
      <c r="A39" s="13" t="s">
        <v>2</v>
      </c>
      <c r="B39" s="47"/>
      <c r="C39" s="36">
        <f>('[2]SPM poverty tables'!$D$2651-'[2]SPM poverty tables'!$D$2631)/1000</f>
        <v>114.416</v>
      </c>
      <c r="D39" s="37">
        <f t="shared" ref="D39:F41" si="18">C39/$B$37</f>
        <v>9.4295896064850671E-2</v>
      </c>
      <c r="E39" s="36">
        <f>('[3]SPM tables'!$D$2651-'[3]SPM tables'!$D$2631)/1000</f>
        <v>107.295</v>
      </c>
      <c r="F39" s="32">
        <f t="shared" si="18"/>
        <v>8.8427127047599571E-2</v>
      </c>
      <c r="G39" s="28">
        <f t="shared" si="1"/>
        <v>-7.1209999999999951</v>
      </c>
      <c r="H39" s="33">
        <f t="shared" si="16"/>
        <v>-0.59</v>
      </c>
      <c r="I39" s="26">
        <f t="shared" si="17"/>
        <v>-6.2237798909243421E-2</v>
      </c>
    </row>
    <row r="40" spans="1:9" x14ac:dyDescent="0.2">
      <c r="A40" s="13" t="s">
        <v>3</v>
      </c>
      <c r="B40" s="47"/>
      <c r="C40" s="36">
        <f>('[2]SPM poverty tables'!$E$2651-'[2]SPM poverty tables'!$E$2631)/1000</f>
        <v>305.04700000000003</v>
      </c>
      <c r="D40" s="37">
        <f t="shared" si="18"/>
        <v>0.25140435085035751</v>
      </c>
      <c r="E40" s="36">
        <f>('[3]SPM tables'!$E$2651-'[3]SPM tables'!$E$2631)/1000</f>
        <v>289.267</v>
      </c>
      <c r="F40" s="32">
        <f t="shared" si="18"/>
        <v>0.23839927079246923</v>
      </c>
      <c r="G40" s="28">
        <f t="shared" si="1"/>
        <v>-15.78000000000003</v>
      </c>
      <c r="H40" s="33">
        <f t="shared" si="16"/>
        <v>-1.3</v>
      </c>
      <c r="I40" s="26">
        <f t="shared" si="17"/>
        <v>-5.1729733450910934E-2</v>
      </c>
    </row>
    <row r="41" spans="1:9" x14ac:dyDescent="0.2">
      <c r="A41" s="13" t="s">
        <v>4</v>
      </c>
      <c r="B41" s="47"/>
      <c r="C41" s="36">
        <f>('[2]SPM poverty tables'!$F$2651-'[2]SPM poverty tables'!$F$2631)/1000</f>
        <v>486</v>
      </c>
      <c r="D41" s="37">
        <f t="shared" si="18"/>
        <v>0.4005366861935169</v>
      </c>
      <c r="E41" s="36">
        <f>('[3]SPM tables'!$F$2651-'[3]SPM tables'!$F$2631)/1000</f>
        <v>476.39600000000002</v>
      </c>
      <c r="F41" s="32">
        <f t="shared" si="18"/>
        <v>0.39262155381861458</v>
      </c>
      <c r="G41" s="28">
        <f t="shared" si="1"/>
        <v>-9.603999999999985</v>
      </c>
      <c r="H41" s="33">
        <f t="shared" si="16"/>
        <v>-0.79</v>
      </c>
      <c r="I41" s="26">
        <f t="shared" si="17"/>
        <v>-1.9761316872427954E-2</v>
      </c>
    </row>
    <row r="42" spans="1:9" x14ac:dyDescent="0.2">
      <c r="A42" s="5" t="s">
        <v>29</v>
      </c>
      <c r="B42" s="47">
        <f>'[1]ATTIS Summary Tables'!$H$2631/1000</f>
        <v>874.05799999999999</v>
      </c>
      <c r="C42" s="36"/>
      <c r="D42" s="37"/>
      <c r="E42" s="36"/>
      <c r="F42" s="32"/>
      <c r="G42" s="28"/>
      <c r="H42" s="45"/>
      <c r="I42" s="26"/>
    </row>
    <row r="43" spans="1:9" x14ac:dyDescent="0.2">
      <c r="A43" s="13" t="s">
        <v>1</v>
      </c>
      <c r="B43" s="47"/>
      <c r="C43" s="36">
        <f>'[2]SPM poverty tables'!$C$2631/1000</f>
        <v>25.779</v>
      </c>
      <c r="D43" s="37">
        <f>C43/$B$42</f>
        <v>2.9493466108656406E-2</v>
      </c>
      <c r="E43" s="36">
        <f>'[3]SPM tables'!$C$2631/1000</f>
        <v>23.123000000000001</v>
      </c>
      <c r="F43" s="32">
        <f>E43/$B$42</f>
        <v>2.6454766159682768E-2</v>
      </c>
      <c r="G43" s="28">
        <f t="shared" si="1"/>
        <v>-2.6559999999999988</v>
      </c>
      <c r="H43" s="38">
        <f t="shared" ref="H43:H46" si="19">ROUND((F43-D43)*100,2)</f>
        <v>-0.3</v>
      </c>
      <c r="I43" s="32">
        <f t="shared" ref="I43:I46" si="20">(E43-C43)/C43</f>
        <v>-0.10302959773459013</v>
      </c>
    </row>
    <row r="44" spans="1:9" x14ac:dyDescent="0.2">
      <c r="A44" s="13" t="s">
        <v>2</v>
      </c>
      <c r="B44" s="47"/>
      <c r="C44" s="36">
        <f>'[2]SPM poverty tables'!$D$2631/1000</f>
        <v>165.648</v>
      </c>
      <c r="D44" s="37">
        <f t="shared" ref="D44:F46" si="21">C44/$B$42</f>
        <v>0.18951602754050645</v>
      </c>
      <c r="E44" s="36">
        <f>'[3]SPM tables'!$D$2631/1000</f>
        <v>142.851</v>
      </c>
      <c r="F44" s="32">
        <f t="shared" si="21"/>
        <v>0.16343423434142815</v>
      </c>
      <c r="G44" s="28">
        <f t="shared" si="1"/>
        <v>-22.796999999999997</v>
      </c>
      <c r="H44" s="38">
        <f t="shared" si="19"/>
        <v>-2.61</v>
      </c>
      <c r="I44" s="32">
        <f t="shared" si="20"/>
        <v>-0.1376231527093596</v>
      </c>
    </row>
    <row r="45" spans="1:9" x14ac:dyDescent="0.2">
      <c r="A45" s="13" t="s">
        <v>3</v>
      </c>
      <c r="B45" s="47"/>
      <c r="C45" s="36">
        <f>'[2]SPM poverty tables'!$E$2631/1000</f>
        <v>418.18700000000001</v>
      </c>
      <c r="D45" s="37">
        <f t="shared" si="21"/>
        <v>0.47844307814813208</v>
      </c>
      <c r="E45" s="36">
        <f>'[3]SPM tables'!$E$2631/1000</f>
        <v>404.58300000000003</v>
      </c>
      <c r="F45" s="32">
        <f t="shared" si="21"/>
        <v>0.46287889362033185</v>
      </c>
      <c r="G45" s="28">
        <f t="shared" si="1"/>
        <v>-13.603999999999985</v>
      </c>
      <c r="H45" s="38">
        <f t="shared" si="19"/>
        <v>-1.56</v>
      </c>
      <c r="I45" s="32">
        <f t="shared" si="20"/>
        <v>-3.2530901247527985E-2</v>
      </c>
    </row>
    <row r="46" spans="1:9" ht="13.5" thickBot="1" x14ac:dyDescent="0.25">
      <c r="A46" s="16" t="s">
        <v>4</v>
      </c>
      <c r="B46" s="48"/>
      <c r="C46" s="39">
        <f>'[2]SPM poverty tables'!$F$2631/1000</f>
        <v>552.22</v>
      </c>
      <c r="D46" s="40">
        <f t="shared" si="21"/>
        <v>0.6317887371318609</v>
      </c>
      <c r="E46" s="39">
        <f>'[3]SPM tables'!$F$2631/1000</f>
        <v>549.04399999999998</v>
      </c>
      <c r="F46" s="41">
        <f t="shared" si="21"/>
        <v>0.62815511098805799</v>
      </c>
      <c r="G46" s="28">
        <f t="shared" si="1"/>
        <v>-3.1760000000000446</v>
      </c>
      <c r="H46" s="43">
        <f t="shared" si="19"/>
        <v>-0.36</v>
      </c>
      <c r="I46" s="41">
        <f t="shared" si="20"/>
        <v>-5.7513309912716748E-3</v>
      </c>
    </row>
    <row r="47" spans="1:9" ht="15" customHeight="1" x14ac:dyDescent="0.2">
      <c r="A47" s="76" t="s">
        <v>86</v>
      </c>
      <c r="B47" s="76"/>
      <c r="C47" s="76"/>
      <c r="D47" s="76"/>
      <c r="E47" s="76"/>
      <c r="F47" s="76"/>
      <c r="G47" s="76"/>
      <c r="H47" s="76"/>
      <c r="I47" s="76"/>
    </row>
    <row r="48" spans="1:9" ht="27" customHeight="1" x14ac:dyDescent="0.2">
      <c r="A48" s="77" t="s">
        <v>92</v>
      </c>
      <c r="B48" s="77"/>
      <c r="C48" s="77"/>
      <c r="D48" s="77"/>
      <c r="E48" s="77"/>
      <c r="F48" s="77"/>
      <c r="G48" s="77"/>
      <c r="H48" s="77"/>
      <c r="I48" s="77"/>
    </row>
  </sheetData>
  <mergeCells count="4">
    <mergeCell ref="E5:I5"/>
    <mergeCell ref="E4:G4"/>
    <mergeCell ref="A47:I47"/>
    <mergeCell ref="A48:I48"/>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2F9F-79F4-42AE-823E-1D282717F32A}">
  <dimension ref="A1:E34"/>
  <sheetViews>
    <sheetView zoomScaleNormal="100" workbookViewId="0">
      <selection activeCell="B6" sqref="B6"/>
    </sheetView>
  </sheetViews>
  <sheetFormatPr defaultColWidth="9.140625" defaultRowHeight="12.75" x14ac:dyDescent="0.2"/>
  <cols>
    <col min="1" max="1" width="66.5703125" style="1" customWidth="1"/>
    <col min="2" max="2" width="28.7109375" style="17" customWidth="1"/>
    <col min="3" max="3" width="9.140625" style="1" customWidth="1"/>
    <col min="4" max="4" width="9.140625" style="1"/>
    <col min="5" max="5" width="9.140625" style="1" customWidth="1"/>
    <col min="6" max="16384" width="9.140625" style="1"/>
  </cols>
  <sheetData>
    <row r="1" spans="1:2" x14ac:dyDescent="0.2">
      <c r="A1" s="6" t="s">
        <v>82</v>
      </c>
    </row>
    <row r="2" spans="1:2" x14ac:dyDescent="0.2">
      <c r="A2" s="6" t="s">
        <v>143</v>
      </c>
    </row>
    <row r="3" spans="1:2" x14ac:dyDescent="0.2">
      <c r="A3" s="70" t="s">
        <v>136</v>
      </c>
    </row>
    <row r="4" spans="1:2" x14ac:dyDescent="0.2">
      <c r="A4" s="1" t="s">
        <v>113</v>
      </c>
    </row>
    <row r="5" spans="1:2" ht="63.75" customHeight="1" thickBot="1" x14ac:dyDescent="0.25">
      <c r="A5" s="3"/>
      <c r="B5" s="23" t="s">
        <v>138</v>
      </c>
    </row>
    <row r="6" spans="1:2" x14ac:dyDescent="0.2">
      <c r="A6" s="1" t="s">
        <v>81</v>
      </c>
      <c r="B6" s="9"/>
    </row>
    <row r="7" spans="1:2" x14ac:dyDescent="0.2">
      <c r="A7" s="12" t="s">
        <v>8</v>
      </c>
      <c r="B7" s="28">
        <f>+(B8+B10)</f>
        <v>7446.57</v>
      </c>
    </row>
    <row r="8" spans="1:2" x14ac:dyDescent="0.2">
      <c r="A8" s="12" t="s">
        <v>9</v>
      </c>
      <c r="B8" s="28">
        <f>(+'[4]hh count total'!$B$8+'[4]hh count total'!$B$9)/1000</f>
        <v>2081.886</v>
      </c>
    </row>
    <row r="9" spans="1:2" x14ac:dyDescent="0.2">
      <c r="A9" s="12" t="s">
        <v>10</v>
      </c>
      <c r="B9" s="28">
        <f>+('[4]hh count total'!$B$8)/1000</f>
        <v>781.66399999999999</v>
      </c>
    </row>
    <row r="10" spans="1:2" x14ac:dyDescent="0.2">
      <c r="A10" s="12" t="s">
        <v>11</v>
      </c>
      <c r="B10" s="28">
        <f>(+'[4]hh count total'!$B$10)/1000</f>
        <v>5364.6840000000002</v>
      </c>
    </row>
    <row r="11" spans="1:2" x14ac:dyDescent="0.2">
      <c r="A11" s="1" t="s">
        <v>31</v>
      </c>
    </row>
    <row r="12" spans="1:2" x14ac:dyDescent="0.2">
      <c r="A12" s="12" t="s">
        <v>32</v>
      </c>
      <c r="B12" s="17" t="s">
        <v>63</v>
      </c>
    </row>
    <row r="13" spans="1:2" x14ac:dyDescent="0.2">
      <c r="A13" s="5" t="s">
        <v>8</v>
      </c>
      <c r="B13" s="28">
        <f>'[3]CustomOutput (table 5)'!$D$13/1000</f>
        <v>2577.71</v>
      </c>
    </row>
    <row r="14" spans="1:2" x14ac:dyDescent="0.2">
      <c r="A14" s="5" t="s">
        <v>9</v>
      </c>
      <c r="B14" s="28">
        <f>'[3]CustomOutput (table 5)'!$D$14/1000</f>
        <v>1997.67</v>
      </c>
    </row>
    <row r="15" spans="1:2" x14ac:dyDescent="0.2">
      <c r="A15" s="5" t="s">
        <v>10</v>
      </c>
      <c r="B15" s="28">
        <f>'[3]CustomOutput (table 5)'!$D$15/1000</f>
        <v>778.404</v>
      </c>
    </row>
    <row r="16" spans="1:2" x14ac:dyDescent="0.2">
      <c r="A16" s="5" t="s">
        <v>11</v>
      </c>
      <c r="B16" s="28">
        <f>'[3]CustomOutput (table 5)'!$D$16/1000</f>
        <v>580.048</v>
      </c>
    </row>
    <row r="17" spans="1:2" x14ac:dyDescent="0.2">
      <c r="A17" s="12" t="s">
        <v>33</v>
      </c>
    </row>
    <row r="18" spans="1:2" x14ac:dyDescent="0.2">
      <c r="A18" s="5" t="s">
        <v>8</v>
      </c>
      <c r="B18" s="29">
        <f>IF(B13=0,"--",'[3]CustomOutput (table 5)'!$D$17/'[3]CustomOutput (table 5)'!$D$13)</f>
        <v>728.09198862556298</v>
      </c>
    </row>
    <row r="19" spans="1:2" x14ac:dyDescent="0.2">
      <c r="A19" s="5" t="s">
        <v>9</v>
      </c>
      <c r="B19" s="29">
        <f>IF(B14=0,"--",'[3]CustomOutput (table 5)'!$D$18/'[3]CustomOutput (table 5)'!$D$14)</f>
        <v>758.92915246261896</v>
      </c>
    </row>
    <row r="20" spans="1:2" x14ac:dyDescent="0.2">
      <c r="A20" s="5" t="s">
        <v>10</v>
      </c>
      <c r="B20" s="29">
        <f>IF(B15=0,"--",'[3]CustomOutput (table 5)'!$D$19/'[3]CustomOutput (table 5)'!$D$15)</f>
        <v>1137.9617782025787</v>
      </c>
    </row>
    <row r="21" spans="1:2" x14ac:dyDescent="0.2">
      <c r="A21" s="5" t="s">
        <v>11</v>
      </c>
      <c r="B21" s="29">
        <f>IF(B16=0,"--",'[3]CustomOutput (table 5)'!$D$20/'[3]CustomOutput (table 5)'!$D$16)</f>
        <v>621.87612059691617</v>
      </c>
    </row>
    <row r="22" spans="1:2" x14ac:dyDescent="0.2">
      <c r="A22" s="1" t="s">
        <v>35</v>
      </c>
    </row>
    <row r="23" spans="1:2" x14ac:dyDescent="0.2">
      <c r="A23" s="12" t="s">
        <v>36</v>
      </c>
    </row>
    <row r="24" spans="1:2" x14ac:dyDescent="0.2">
      <c r="A24" s="5" t="s">
        <v>8</v>
      </c>
      <c r="B24" s="28">
        <f>+(B25+B27)</f>
        <v>9.3260000000000005</v>
      </c>
    </row>
    <row r="25" spans="1:2" x14ac:dyDescent="0.2">
      <c r="A25" s="5" t="s">
        <v>9</v>
      </c>
      <c r="B25" s="28">
        <f>('[3]CustomOutput (table 5)'!$D$22)/1000</f>
        <v>3.1720000000000002</v>
      </c>
    </row>
    <row r="26" spans="1:2" x14ac:dyDescent="0.2">
      <c r="A26" s="5" t="s">
        <v>10</v>
      </c>
      <c r="B26" s="28">
        <f>'[3]CustomOutput (table 5)'!$D$23/1000</f>
        <v>0.61099999999999999</v>
      </c>
    </row>
    <row r="27" spans="1:2" x14ac:dyDescent="0.2">
      <c r="A27" s="5" t="s">
        <v>11</v>
      </c>
      <c r="B27" s="69">
        <f>'[3]CustomOutput (table 5)'!$D$24/1000</f>
        <v>6.1539999999999999</v>
      </c>
    </row>
    <row r="28" spans="1:2" x14ac:dyDescent="0.2">
      <c r="A28" s="12" t="s">
        <v>34</v>
      </c>
    </row>
    <row r="29" spans="1:2" x14ac:dyDescent="0.2">
      <c r="A29" s="5" t="s">
        <v>8</v>
      </c>
      <c r="B29" s="29">
        <f>IF(B24=0,"--",'[3]CustomOutput (table 5)'!$D$25/'[3]CustomOutput (table 5)'!$D$21)</f>
        <v>-182.90156551576237</v>
      </c>
    </row>
    <row r="30" spans="1:2" x14ac:dyDescent="0.2">
      <c r="A30" s="5" t="s">
        <v>9</v>
      </c>
      <c r="B30" s="29">
        <f>IF(B25=0,"--",'[3]CustomOutput (table 5)'!$D$26/'[3]CustomOutput (table 5)'!$D$22)</f>
        <v>-174.51134930643127</v>
      </c>
    </row>
    <row r="31" spans="1:2" x14ac:dyDescent="0.2">
      <c r="A31" s="5" t="s">
        <v>10</v>
      </c>
      <c r="B31" s="29">
        <f>IF(B26=0,"--",'[3]CustomOutput (table 5)'!$D$27/'[3]CustomOutput (table 5)'!$D$23)</f>
        <v>-526.52373158756143</v>
      </c>
    </row>
    <row r="32" spans="1:2" ht="13.5" thickBot="1" x14ac:dyDescent="0.25">
      <c r="A32" s="14" t="s">
        <v>11</v>
      </c>
      <c r="B32" s="29">
        <f>IF(B27=0,"--",'[3]CustomOutput (table 5)'!$D$28/'[3]CustomOutput (table 5)'!$D$24)</f>
        <v>-187.22619434514138</v>
      </c>
    </row>
    <row r="33" spans="1:5" ht="28.5" customHeight="1" x14ac:dyDescent="0.2">
      <c r="A33" s="76" t="s">
        <v>86</v>
      </c>
      <c r="B33" s="76"/>
    </row>
    <row r="34" spans="1:5" ht="40.5" customHeight="1" x14ac:dyDescent="0.2">
      <c r="A34" s="75" t="s">
        <v>121</v>
      </c>
      <c r="B34" s="75"/>
      <c r="C34" s="68"/>
      <c r="D34" s="68"/>
      <c r="E34" s="68"/>
    </row>
  </sheetData>
  <mergeCells count="2">
    <mergeCell ref="A33:B33"/>
    <mergeCell ref="A34:B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6705-1EF6-487E-AF00-283140A09615}">
  <dimension ref="A1:E21"/>
  <sheetViews>
    <sheetView workbookViewId="0"/>
  </sheetViews>
  <sheetFormatPr defaultColWidth="9.140625" defaultRowHeight="12.75" x14ac:dyDescent="0.2"/>
  <cols>
    <col min="1" max="1" width="50.28515625" style="1" customWidth="1"/>
    <col min="2" max="2" width="12.5703125" style="17" customWidth="1"/>
    <col min="3" max="4" width="14.7109375" style="17" customWidth="1"/>
    <col min="5" max="16384" width="9.140625" style="1"/>
  </cols>
  <sheetData>
    <row r="1" spans="1:4" x14ac:dyDescent="0.2">
      <c r="A1" s="6" t="s">
        <v>83</v>
      </c>
      <c r="B1" s="25"/>
    </row>
    <row r="2" spans="1:4" x14ac:dyDescent="0.2">
      <c r="A2" s="6" t="s">
        <v>144</v>
      </c>
      <c r="B2" s="25"/>
    </row>
    <row r="3" spans="1:4" x14ac:dyDescent="0.2">
      <c r="A3" s="70" t="s">
        <v>136</v>
      </c>
      <c r="B3" s="25"/>
    </row>
    <row r="4" spans="1:4" x14ac:dyDescent="0.2">
      <c r="A4" s="1" t="s">
        <v>124</v>
      </c>
    </row>
    <row r="5" spans="1:4" ht="39" thickBot="1" x14ac:dyDescent="0.25">
      <c r="A5" s="3"/>
      <c r="B5" s="23" t="s">
        <v>0</v>
      </c>
      <c r="C5" s="23" t="s">
        <v>73</v>
      </c>
      <c r="D5" s="23" t="s">
        <v>77</v>
      </c>
    </row>
    <row r="6" spans="1:4" ht="15" x14ac:dyDescent="0.2">
      <c r="A6" s="1" t="s">
        <v>122</v>
      </c>
    </row>
    <row r="7" spans="1:4" x14ac:dyDescent="0.2">
      <c r="A7" s="12" t="s">
        <v>13</v>
      </c>
      <c r="B7" s="28">
        <f>+'[4]emp by hh cat'!$B$11/1000</f>
        <v>10245.791999999999</v>
      </c>
    </row>
    <row r="8" spans="1:4" x14ac:dyDescent="0.2">
      <c r="A8" s="12" t="s">
        <v>14</v>
      </c>
      <c r="B8" s="28"/>
    </row>
    <row r="9" spans="1:4" x14ac:dyDescent="0.2">
      <c r="A9" s="12" t="s">
        <v>15</v>
      </c>
    </row>
    <row r="10" spans="1:4" x14ac:dyDescent="0.2">
      <c r="A10" s="12" t="s">
        <v>16</v>
      </c>
    </row>
    <row r="11" spans="1:4" x14ac:dyDescent="0.2">
      <c r="A11" s="1" t="s">
        <v>12</v>
      </c>
    </row>
    <row r="12" spans="1:4" x14ac:dyDescent="0.2">
      <c r="A12" s="12" t="s">
        <v>13</v>
      </c>
      <c r="B12" s="66" t="s">
        <v>39</v>
      </c>
    </row>
    <row r="13" spans="1:4" x14ac:dyDescent="0.2">
      <c r="A13" s="12" t="s">
        <v>14</v>
      </c>
      <c r="B13" s="66" t="s">
        <v>39</v>
      </c>
    </row>
    <row r="14" spans="1:4" x14ac:dyDescent="0.2">
      <c r="A14" s="12" t="s">
        <v>15</v>
      </c>
      <c r="B14" s="66" t="s">
        <v>39</v>
      </c>
    </row>
    <row r="15" spans="1:4" x14ac:dyDescent="0.2">
      <c r="A15" s="12" t="s">
        <v>16</v>
      </c>
      <c r="B15" s="66" t="s">
        <v>39</v>
      </c>
    </row>
    <row r="16" spans="1:4" x14ac:dyDescent="0.2">
      <c r="A16" s="1" t="s">
        <v>17</v>
      </c>
    </row>
    <row r="17" spans="1:5" x14ac:dyDescent="0.2">
      <c r="A17" s="12" t="s">
        <v>14</v>
      </c>
      <c r="B17" s="66" t="s">
        <v>39</v>
      </c>
    </row>
    <row r="18" spans="1:5" x14ac:dyDescent="0.2">
      <c r="A18" s="12" t="s">
        <v>15</v>
      </c>
      <c r="B18" s="66" t="s">
        <v>39</v>
      </c>
    </row>
    <row r="19" spans="1:5" ht="13.5" thickBot="1" x14ac:dyDescent="0.25">
      <c r="A19" s="22" t="s">
        <v>16</v>
      </c>
      <c r="B19" s="67" t="s">
        <v>39</v>
      </c>
      <c r="C19" s="61"/>
      <c r="D19" s="61"/>
    </row>
    <row r="20" spans="1:5" ht="28.5" customHeight="1" x14ac:dyDescent="0.2">
      <c r="A20" s="76" t="s">
        <v>86</v>
      </c>
      <c r="B20" s="76"/>
      <c r="C20" s="76"/>
      <c r="D20" s="76"/>
    </row>
    <row r="21" spans="1:5" x14ac:dyDescent="0.2">
      <c r="A21" s="75" t="s">
        <v>123</v>
      </c>
      <c r="B21" s="75"/>
      <c r="C21" s="75"/>
      <c r="D21" s="75"/>
      <c r="E21" s="75"/>
    </row>
  </sheetData>
  <mergeCells count="2">
    <mergeCell ref="A20:D20"/>
    <mergeCell ref="A21:E21"/>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D446-ED0A-4089-9032-05B6854F1A65}">
  <sheetPr>
    <pageSetUpPr fitToPage="1"/>
  </sheetPr>
  <dimension ref="A1:H65"/>
  <sheetViews>
    <sheetView zoomScaleNormal="100" workbookViewId="0"/>
  </sheetViews>
  <sheetFormatPr defaultColWidth="9.140625" defaultRowHeight="12.75" x14ac:dyDescent="0.2"/>
  <cols>
    <col min="1" max="1" width="56.85546875" style="1" customWidth="1"/>
    <col min="2" max="2" width="12.7109375" style="17" customWidth="1"/>
    <col min="3" max="3" width="24.42578125" style="17" customWidth="1"/>
    <col min="4" max="4" width="16.5703125" style="17" customWidth="1"/>
    <col min="5" max="5" width="16.85546875" style="17" customWidth="1"/>
    <col min="6" max="7" width="9.140625" style="1"/>
    <col min="8" max="8" width="9.85546875" style="1" bestFit="1" customWidth="1"/>
    <col min="9" max="16384" width="9.140625" style="1"/>
  </cols>
  <sheetData>
    <row r="1" spans="1:7" x14ac:dyDescent="0.2">
      <c r="A1" s="6" t="s">
        <v>84</v>
      </c>
      <c r="B1" s="25"/>
      <c r="C1" s="25"/>
      <c r="D1" s="25"/>
      <c r="E1" s="25"/>
      <c r="F1" s="1" t="s">
        <v>63</v>
      </c>
    </row>
    <row r="2" spans="1:7" x14ac:dyDescent="0.2">
      <c r="A2" s="6" t="s">
        <v>145</v>
      </c>
      <c r="B2" s="25"/>
      <c r="C2" s="25"/>
      <c r="D2" s="25"/>
      <c r="E2" s="25"/>
    </row>
    <row r="3" spans="1:7" x14ac:dyDescent="0.2">
      <c r="A3" s="70" t="s">
        <v>136</v>
      </c>
      <c r="B3" s="25"/>
      <c r="C3" s="25"/>
      <c r="D3" s="25"/>
      <c r="E3" s="25"/>
    </row>
    <row r="4" spans="1:7" x14ac:dyDescent="0.2">
      <c r="A4" s="1" t="s">
        <v>114</v>
      </c>
      <c r="B4" s="17" t="s">
        <v>63</v>
      </c>
    </row>
    <row r="5" spans="1:7" ht="29.25" customHeight="1" thickBot="1" x14ac:dyDescent="0.25">
      <c r="C5" s="79" t="s">
        <v>137</v>
      </c>
      <c r="D5" s="79"/>
      <c r="E5" s="79"/>
    </row>
    <row r="6" spans="1:7" ht="41.25" thickBot="1" x14ac:dyDescent="0.25">
      <c r="A6" s="3"/>
      <c r="B6" s="23" t="s">
        <v>130</v>
      </c>
      <c r="C6" s="23" t="s">
        <v>131</v>
      </c>
      <c r="D6" s="23" t="s">
        <v>73</v>
      </c>
      <c r="E6" s="23" t="s">
        <v>77</v>
      </c>
    </row>
    <row r="7" spans="1:7" x14ac:dyDescent="0.2">
      <c r="A7" s="1" t="s">
        <v>40</v>
      </c>
      <c r="B7" s="26"/>
      <c r="C7" s="26"/>
      <c r="D7" s="26"/>
    </row>
    <row r="8" spans="1:7" x14ac:dyDescent="0.2">
      <c r="A8" s="12" t="s">
        <v>41</v>
      </c>
      <c r="B8" s="27">
        <f>'[2]key results (script)'!$B$303/1000</f>
        <v>376.85700000000003</v>
      </c>
      <c r="C8" s="27">
        <f>'[3]Script (key results)'!$B$303/1000</f>
        <v>377.12799999999999</v>
      </c>
      <c r="D8" s="28">
        <f>C8-B8</f>
        <v>0.27099999999995816</v>
      </c>
      <c r="E8" s="26">
        <f>(C8-B8)/B8</f>
        <v>7.1910565546071364E-4</v>
      </c>
    </row>
    <row r="9" spans="1:7" x14ac:dyDescent="0.2">
      <c r="A9" s="12" t="s">
        <v>42</v>
      </c>
      <c r="B9" s="29">
        <f>'[2]key results (script)'!$B$304/1000000</f>
        <v>1904.9406719999999</v>
      </c>
      <c r="C9" s="29">
        <f>'[3]Script (key results)'!$B$304/1000000</f>
        <v>1910.5391360000001</v>
      </c>
      <c r="D9" s="29">
        <f>C9-B9</f>
        <v>5.5984640000001491</v>
      </c>
      <c r="E9" s="26">
        <f>(C9-B9)/B9</f>
        <v>2.9389177743379871E-3</v>
      </c>
    </row>
    <row r="10" spans="1:7" x14ac:dyDescent="0.2">
      <c r="A10" s="4"/>
      <c r="G10" s="62"/>
    </row>
    <row r="11" spans="1:7" ht="15" x14ac:dyDescent="0.2">
      <c r="A11" s="1" t="s">
        <v>110</v>
      </c>
    </row>
    <row r="12" spans="1:7" x14ac:dyDescent="0.2">
      <c r="A12" s="12" t="s">
        <v>108</v>
      </c>
      <c r="B12" s="28">
        <f>+('[2]key results (script)'!$B$271+'[2]key results (script)'!$B$267)/1000</f>
        <v>601.52200000000005</v>
      </c>
      <c r="C12" s="28">
        <f>+('[3]Script (key results)'!$B$271+'[3]Script (key results)'!$B$267)/1000</f>
        <v>601.375</v>
      </c>
      <c r="D12" s="28">
        <f>C12-B12</f>
        <v>-0.1470000000000482</v>
      </c>
      <c r="E12" s="26">
        <f>(C12-B12)/B12</f>
        <v>-2.443800891738759E-4</v>
      </c>
    </row>
    <row r="13" spans="1:7" x14ac:dyDescent="0.2">
      <c r="A13" s="12" t="s">
        <v>109</v>
      </c>
      <c r="B13" s="29">
        <f>+('[2]key results (script)'!$B$266+'[2]key results (script)'!$B$268)/1000000</f>
        <v>4160.5646079999997</v>
      </c>
      <c r="C13" s="29">
        <f>+('[3]Script (key results)'!$B$266+'[3]Script (key results)'!$B$268)/1000000</f>
        <v>4158.164992</v>
      </c>
      <c r="D13" s="29">
        <f>C13-B13</f>
        <v>-2.3996159999996962</v>
      </c>
      <c r="E13" s="26">
        <f>(C13-B13)/B13</f>
        <v>-5.7675249060804793E-4</v>
      </c>
      <c r="F13" s="10"/>
    </row>
    <row r="14" spans="1:7" x14ac:dyDescent="0.2">
      <c r="A14" s="4"/>
    </row>
    <row r="15" spans="1:7" ht="25.5" x14ac:dyDescent="0.2">
      <c r="A15" s="11" t="s">
        <v>43</v>
      </c>
    </row>
    <row r="16" spans="1:7" x14ac:dyDescent="0.2">
      <c r="A16" s="12" t="s">
        <v>44</v>
      </c>
      <c r="B16" s="28">
        <f>SUM('[2]key results (script)'!$B$296,'[2]key results (script)'!$B$298)/1000</f>
        <v>120.907</v>
      </c>
      <c r="C16" s="28">
        <f>SUM('[3]Script (key results)'!$B$296,'[3]Script (key results)'!$B$298)/1000</f>
        <v>141.43700000000001</v>
      </c>
      <c r="D16" s="28">
        <f>C16-B16</f>
        <v>20.530000000000015</v>
      </c>
      <c r="E16" s="26">
        <f>(C16-B16)/B16</f>
        <v>0.16979992887095052</v>
      </c>
      <c r="F16" s="10"/>
    </row>
    <row r="17" spans="1:6" x14ac:dyDescent="0.2">
      <c r="A17" s="12" t="s">
        <v>45</v>
      </c>
      <c r="B17" s="29">
        <f>'[2]key results (script)'!$B$297/1000000</f>
        <v>816.16134399999999</v>
      </c>
      <c r="C17" s="29">
        <f>'[3]Script (key results)'!$B$297/1000000</f>
        <v>946.20121600000004</v>
      </c>
      <c r="D17" s="29">
        <f>C17-B17</f>
        <v>130.03987200000006</v>
      </c>
      <c r="E17" s="26">
        <f>(C17-B17)/B17</f>
        <v>0.15933108441852406</v>
      </c>
    </row>
    <row r="18" spans="1:6" x14ac:dyDescent="0.2">
      <c r="A18" s="4"/>
    </row>
    <row r="19" spans="1:6" x14ac:dyDescent="0.2">
      <c r="A19" s="1" t="s">
        <v>46</v>
      </c>
    </row>
    <row r="20" spans="1:6" x14ac:dyDescent="0.2">
      <c r="A20" s="12" t="s">
        <v>47</v>
      </c>
      <c r="B20" s="28">
        <f>'[2]key results (script)'!$B$52/1000</f>
        <v>107.706</v>
      </c>
      <c r="C20" s="28">
        <f>'[3]Script (key results)'!$B$52/1000</f>
        <v>111.363</v>
      </c>
      <c r="D20" s="28">
        <f>C20-B20</f>
        <v>3.6569999999999965</v>
      </c>
      <c r="E20" s="26">
        <f>(C20-B20)/B20</f>
        <v>3.3953540192746885E-2</v>
      </c>
    </row>
    <row r="21" spans="1:6" x14ac:dyDescent="0.2">
      <c r="A21" s="12" t="s">
        <v>42</v>
      </c>
      <c r="B21" s="29">
        <f>'[2]key results (script)'!$B$54/1000000</f>
        <v>513.85062400000004</v>
      </c>
      <c r="C21" s="29">
        <f>'[3]Script (key results)'!$B$54/1000000</f>
        <v>534.26860799999997</v>
      </c>
      <c r="D21" s="29">
        <f>C21-B21</f>
        <v>20.417983999999933</v>
      </c>
      <c r="E21" s="26">
        <f>(C21-B21)/B21</f>
        <v>3.9735251931892042E-2</v>
      </c>
      <c r="F21" s="10"/>
    </row>
    <row r="22" spans="1:6" x14ac:dyDescent="0.2">
      <c r="A22" s="4"/>
    </row>
    <row r="23" spans="1:6" x14ac:dyDescent="0.2">
      <c r="A23" s="1" t="s">
        <v>48</v>
      </c>
    </row>
    <row r="24" spans="1:6" x14ac:dyDescent="0.2">
      <c r="A24" s="12" t="s">
        <v>49</v>
      </c>
      <c r="B24" s="28">
        <f>'[2]key results (script)'!$B$15/1000</f>
        <v>105.837</v>
      </c>
      <c r="C24" s="28">
        <f>'[3]Script (key results)'!$B$15/1000</f>
        <v>230.62100000000001</v>
      </c>
      <c r="D24" s="28">
        <f>C24-B24</f>
        <v>124.78400000000001</v>
      </c>
      <c r="E24" s="26">
        <f>(C24-B24)/B24</f>
        <v>1.1790205693661007</v>
      </c>
      <c r="F24" s="10"/>
    </row>
    <row r="25" spans="1:6" x14ac:dyDescent="0.2">
      <c r="A25" s="12" t="s">
        <v>103</v>
      </c>
      <c r="B25" s="71">
        <v>849.8</v>
      </c>
      <c r="C25" s="71">
        <v>2509.2199999999998</v>
      </c>
      <c r="D25" s="29">
        <f>C25-B25</f>
        <v>1659.4199999999998</v>
      </c>
      <c r="E25" s="26">
        <f>(C25-B25)/B25</f>
        <v>1.9527182866556836</v>
      </c>
    </row>
    <row r="26" spans="1:6" x14ac:dyDescent="0.2">
      <c r="A26" s="4"/>
    </row>
    <row r="27" spans="1:6" x14ac:dyDescent="0.2">
      <c r="A27" s="1" t="s">
        <v>50</v>
      </c>
    </row>
    <row r="28" spans="1:6" x14ac:dyDescent="0.2">
      <c r="A28" s="12" t="s">
        <v>51</v>
      </c>
      <c r="B28" s="28">
        <f>'[2]key results (script)'!$B$56/1000</f>
        <v>546.678</v>
      </c>
      <c r="C28" s="28">
        <f>'[3]Script (key results)'!$B$56/1000</f>
        <v>546.38499999999999</v>
      </c>
      <c r="D28" s="28">
        <f>C28-B28</f>
        <v>-0.29300000000000637</v>
      </c>
      <c r="E28" s="26">
        <f>(C28-B28)/B28</f>
        <v>-5.3596449829699817E-4</v>
      </c>
    </row>
    <row r="29" spans="1:6" ht="15" x14ac:dyDescent="0.2">
      <c r="A29" s="12" t="s">
        <v>91</v>
      </c>
      <c r="B29" s="29">
        <f>'[2]key results (script)'!$B$60/1000000</f>
        <v>7302.6063359999998</v>
      </c>
      <c r="C29" s="29">
        <f>'[3]Script (key results)'!$B$60/1000000</f>
        <v>7275.5747840000004</v>
      </c>
      <c r="D29" s="29">
        <f>C29-B29</f>
        <v>-27.031551999999465</v>
      </c>
      <c r="E29" s="26">
        <f>(C29-B29)/B29</f>
        <v>-3.7016307269283791E-3</v>
      </c>
      <c r="F29" s="10"/>
    </row>
    <row r="30" spans="1:6" x14ac:dyDescent="0.2">
      <c r="A30" s="4"/>
    </row>
    <row r="31" spans="1:6" x14ac:dyDescent="0.2">
      <c r="A31" s="1" t="s">
        <v>52</v>
      </c>
    </row>
    <row r="32" spans="1:6" x14ac:dyDescent="0.2">
      <c r="A32" s="12" t="s">
        <v>47</v>
      </c>
      <c r="B32" s="28">
        <f>'[2]key results (script)'!$B$87/1000</f>
        <v>1427.085</v>
      </c>
      <c r="C32" s="28">
        <f>'[3]Script (key results)'!$B$87/1000</f>
        <v>1424.866</v>
      </c>
      <c r="D32" s="28">
        <f>C32-B32</f>
        <v>-2.2190000000000509</v>
      </c>
      <c r="E32" s="26">
        <f>(C32-B32)/B32</f>
        <v>-1.5549178920667311E-3</v>
      </c>
      <c r="F32" s="10"/>
    </row>
    <row r="33" spans="1:8" x14ac:dyDescent="0.2">
      <c r="A33" s="12" t="s">
        <v>42</v>
      </c>
      <c r="B33" s="29">
        <f>'[2]key results (script)'!$B$88/1000000</f>
        <v>3750.4473600000001</v>
      </c>
      <c r="C33" s="29">
        <f>'[3]Script (key results)'!$B$88/1000000</f>
        <v>3689.0874880000001</v>
      </c>
      <c r="D33" s="29">
        <f>C33-B33</f>
        <v>-61.359871999999996</v>
      </c>
      <c r="E33" s="26">
        <f>(C33-B33)/B33</f>
        <v>-1.6360680769560248E-2</v>
      </c>
      <c r="F33" s="10"/>
    </row>
    <row r="34" spans="1:8" x14ac:dyDescent="0.2">
      <c r="A34" s="4"/>
    </row>
    <row r="35" spans="1:8" ht="27.75" x14ac:dyDescent="0.2">
      <c r="A35" s="11" t="s">
        <v>126</v>
      </c>
    </row>
    <row r="36" spans="1:8" x14ac:dyDescent="0.2">
      <c r="A36" s="12" t="s">
        <v>125</v>
      </c>
      <c r="B36" s="28">
        <f>SUM('[2]key results (script)'!$B$308,'[2]key results (script)'!$B$310,+'[2]key results (script)'!$B$306)/1000</f>
        <v>324.18599999999998</v>
      </c>
      <c r="C36" s="28">
        <f>SUM('[3]Script (key results)'!$B$308,'[3]Script (key results)'!$B$310,'[3]Script (key results)'!$B$306)/1000</f>
        <v>324.18599999999998</v>
      </c>
      <c r="D36" s="28">
        <f>C36-B36</f>
        <v>0</v>
      </c>
      <c r="E36" s="26">
        <f>(C36-B36)/B36</f>
        <v>0</v>
      </c>
    </row>
    <row r="37" spans="1:8" x14ac:dyDescent="0.2">
      <c r="A37" s="12" t="s">
        <v>127</v>
      </c>
      <c r="B37" s="29">
        <f>'[2]key results (script)'!$B$311/1000000</f>
        <v>352.02771200000001</v>
      </c>
      <c r="C37" s="29">
        <f>'[3]Script (key results)'!$B$311/1000000</f>
        <v>352.02771200000001</v>
      </c>
      <c r="D37" s="29">
        <f>C37-B37</f>
        <v>0</v>
      </c>
      <c r="E37" s="26">
        <f>(C37-B37)/B37</f>
        <v>0</v>
      </c>
      <c r="F37" s="10"/>
    </row>
    <row r="38" spans="1:8" x14ac:dyDescent="0.2">
      <c r="A38" s="4"/>
    </row>
    <row r="39" spans="1:8" x14ac:dyDescent="0.2">
      <c r="A39" s="1" t="s">
        <v>53</v>
      </c>
    </row>
    <row r="40" spans="1:8" x14ac:dyDescent="0.2">
      <c r="A40" s="12" t="s">
        <v>54</v>
      </c>
      <c r="B40" s="28">
        <f>'[2]key results (script)'!$B$70/1000</f>
        <v>1469.15</v>
      </c>
      <c r="C40" s="28">
        <f>'[3]Script (key results)'!$B$70/1000</f>
        <v>1469.027</v>
      </c>
      <c r="D40" s="28">
        <f>C40-B40</f>
        <v>-0.12300000000004729</v>
      </c>
      <c r="E40" s="26">
        <f>(C40-B40)/B40</f>
        <v>-8.372187999867085E-5</v>
      </c>
      <c r="G40" s="19"/>
    </row>
    <row r="41" spans="1:8" ht="15" x14ac:dyDescent="0.2">
      <c r="A41" s="12" t="s">
        <v>111</v>
      </c>
      <c r="B41" s="29">
        <f>'[2]key results (script)'!$B$71/1000000</f>
        <v>226.94731200000001</v>
      </c>
      <c r="C41" s="29">
        <f>'[3]Script (key results)'!$B$71/1000000</f>
        <v>226.901568</v>
      </c>
      <c r="D41" s="29">
        <f>C41-B41</f>
        <v>-4.574400000001333E-2</v>
      </c>
      <c r="E41" s="26">
        <f>(C41-B41)/B41</f>
        <v>-2.0156220224372312E-4</v>
      </c>
      <c r="G41" s="19"/>
    </row>
    <row r="42" spans="1:8" x14ac:dyDescent="0.2">
      <c r="A42" s="4"/>
      <c r="G42" s="20"/>
    </row>
    <row r="43" spans="1:8" x14ac:dyDescent="0.2">
      <c r="A43" s="1" t="s">
        <v>104</v>
      </c>
    </row>
    <row r="44" spans="1:8" x14ac:dyDescent="0.2">
      <c r="A44" s="12" t="s">
        <v>105</v>
      </c>
      <c r="B44" s="29">
        <f>(+'[2]key results (script)'!$B$276+'[2]key results (script)'!$B$277)/1000000</f>
        <v>35898.250240000001</v>
      </c>
      <c r="C44" s="29">
        <f>+('[3]Script (key results)'!$B$276+'[3]Script (key results)'!$B$277)/1000000</f>
        <v>35494.544000000002</v>
      </c>
      <c r="D44" s="29">
        <f t="shared" ref="D44" si="0">C44-B44</f>
        <v>-403.70623999999953</v>
      </c>
      <c r="E44" s="26">
        <f t="shared" ref="E44:E53" si="1">(C44-B44)/B44</f>
        <v>-1.1245847285062536E-2</v>
      </c>
    </row>
    <row r="45" spans="1:8" x14ac:dyDescent="0.2">
      <c r="A45" s="12" t="s">
        <v>87</v>
      </c>
      <c r="E45" s="26"/>
      <c r="F45" s="10"/>
      <c r="G45" s="21"/>
      <c r="H45" s="62"/>
    </row>
    <row r="46" spans="1:8" x14ac:dyDescent="0.2">
      <c r="A46" s="5" t="s">
        <v>89</v>
      </c>
      <c r="B46" s="28">
        <f>+'[2]key results (script)'!$B$278/1000</f>
        <v>1008.817</v>
      </c>
      <c r="C46" s="28">
        <f>'[3]Script (key results)'!$B$278/1000</f>
        <v>1018.76</v>
      </c>
      <c r="D46" s="28">
        <f>C46-B46</f>
        <v>9.9429999999999836</v>
      </c>
      <c r="E46" s="26">
        <f t="shared" si="1"/>
        <v>9.8560987770824476E-3</v>
      </c>
      <c r="G46" s="21"/>
      <c r="H46" s="62"/>
    </row>
    <row r="47" spans="1:8" x14ac:dyDescent="0.2">
      <c r="A47" s="5" t="s">
        <v>90</v>
      </c>
      <c r="B47" s="29">
        <f>+(('[2]key results (script)'!$B$278)*'[2]key results (script)'!$B$279)/1000000</f>
        <v>624.45772299999999</v>
      </c>
      <c r="C47" s="29">
        <f>+('[3]Script (key results)'!$B$278*'[3]Script (key results)'!$B$279)</f>
        <v>811951720</v>
      </c>
      <c r="D47" s="29">
        <f>C47-B47</f>
        <v>811951095.54227698</v>
      </c>
      <c r="E47" s="26">
        <f t="shared" si="1"/>
        <v>1300249.9058567605</v>
      </c>
      <c r="G47" s="20"/>
    </row>
    <row r="48" spans="1:8" x14ac:dyDescent="0.2">
      <c r="A48" s="12" t="s">
        <v>135</v>
      </c>
      <c r="B48" s="29"/>
      <c r="C48" s="29"/>
      <c r="D48" s="29"/>
      <c r="E48" s="26"/>
      <c r="G48" s="20"/>
    </row>
    <row r="49" spans="1:8" x14ac:dyDescent="0.2">
      <c r="A49" s="5" t="s">
        <v>89</v>
      </c>
      <c r="B49" s="28">
        <f>+[2]ESCC!$B$8/1000</f>
        <v>1687.5719999999999</v>
      </c>
      <c r="C49" s="28">
        <f>+[3]ESCC!$B$8/1000</f>
        <v>2021.9069999999999</v>
      </c>
      <c r="D49" s="28">
        <f>C49-B49</f>
        <v>334.33500000000004</v>
      </c>
      <c r="E49" s="26">
        <f t="shared" ref="E49:E50" si="2">(C49-B49)/B49</f>
        <v>0.19811599149547401</v>
      </c>
      <c r="G49" s="20"/>
    </row>
    <row r="50" spans="1:8" x14ac:dyDescent="0.2">
      <c r="A50" s="5" t="s">
        <v>90</v>
      </c>
      <c r="B50" s="29">
        <f>+[2]ESCC!$C$8/1000000</f>
        <v>1018.078381</v>
      </c>
      <c r="C50" s="29">
        <f>+([3]ESCC!$C$8/1000000)+(+[3]ESCC!$C$18/1000000)</f>
        <v>1828.95894</v>
      </c>
      <c r="D50" s="29">
        <f>C50-B50</f>
        <v>810.88055899999995</v>
      </c>
      <c r="E50" s="26">
        <f t="shared" si="2"/>
        <v>0.79648146364086281</v>
      </c>
      <c r="G50" s="20"/>
    </row>
    <row r="51" spans="1:8" x14ac:dyDescent="0.2">
      <c r="A51" s="12" t="s">
        <v>88</v>
      </c>
      <c r="B51" s="29"/>
      <c r="C51" s="29"/>
      <c r="D51" s="29"/>
      <c r="E51" s="26"/>
      <c r="F51" s="10"/>
    </row>
    <row r="52" spans="1:8" x14ac:dyDescent="0.2">
      <c r="A52" s="5" t="s">
        <v>89</v>
      </c>
      <c r="B52" s="28">
        <f>+'[2]key results (script)'!$B$280/1000</f>
        <v>447.94299999999998</v>
      </c>
      <c r="C52" s="28">
        <f>'[3]Script (key results)'!$B$280/1000</f>
        <v>483.375</v>
      </c>
      <c r="D52" s="28">
        <f>C52-B52</f>
        <v>35.432000000000016</v>
      </c>
      <c r="E52" s="26">
        <f t="shared" si="1"/>
        <v>7.9099349694045931E-2</v>
      </c>
      <c r="F52" s="10"/>
      <c r="H52" s="62"/>
    </row>
    <row r="53" spans="1:8" x14ac:dyDescent="0.2">
      <c r="A53" s="5" t="s">
        <v>90</v>
      </c>
      <c r="B53" s="29">
        <f>+('[2]key results (script)'!$B$280*'[2]key results (script)'!$B$281)/1000000</f>
        <v>222.17972800000001</v>
      </c>
      <c r="C53" s="29">
        <f>+('[3]Script (key results)'!$B$280*'[3]Script (key results)'!$B$281)/1000000</f>
        <v>181.265625</v>
      </c>
      <c r="D53" s="29">
        <f>C53-B53</f>
        <v>-40.914103000000011</v>
      </c>
      <c r="E53" s="26">
        <f t="shared" si="1"/>
        <v>-0.18414867714663874</v>
      </c>
      <c r="F53" s="10"/>
    </row>
    <row r="54" spans="1:8" x14ac:dyDescent="0.2">
      <c r="A54" s="12" t="s">
        <v>97</v>
      </c>
      <c r="E54" s="26"/>
      <c r="F54" s="10"/>
    </row>
    <row r="55" spans="1:8" x14ac:dyDescent="0.2">
      <c r="A55" s="5" t="s">
        <v>89</v>
      </c>
      <c r="B55" s="17">
        <v>0</v>
      </c>
      <c r="C55" s="17">
        <v>0</v>
      </c>
      <c r="D55" s="28">
        <f>C55-B55</f>
        <v>0</v>
      </c>
      <c r="E55" s="26" t="str">
        <f>IF(B55-C55&lt;&gt;0,(C55-B55)/B55,"--")</f>
        <v>--</v>
      </c>
      <c r="F55" s="10"/>
    </row>
    <row r="56" spans="1:8" x14ac:dyDescent="0.2">
      <c r="A56" s="5" t="s">
        <v>90</v>
      </c>
      <c r="B56" s="17">
        <v>0</v>
      </c>
      <c r="C56" s="17">
        <v>0</v>
      </c>
      <c r="D56" s="28">
        <f>C56-B56</f>
        <v>0</v>
      </c>
      <c r="E56" s="26" t="str">
        <f>IF(B56-C56&lt;&gt;0,(C56-B56)/B56,"--")</f>
        <v>--</v>
      </c>
      <c r="F56" s="10"/>
    </row>
    <row r="57" spans="1:8" x14ac:dyDescent="0.2">
      <c r="A57" s="5"/>
      <c r="D57" s="28"/>
      <c r="E57" s="26"/>
      <c r="F57" s="10"/>
    </row>
    <row r="58" spans="1:8" x14ac:dyDescent="0.2">
      <c r="A58" s="1" t="s">
        <v>106</v>
      </c>
      <c r="D58" s="28"/>
      <c r="E58" s="26"/>
      <c r="F58" s="10"/>
    </row>
    <row r="59" spans="1:8" x14ac:dyDescent="0.2">
      <c r="A59" s="12" t="s">
        <v>107</v>
      </c>
      <c r="B59" s="29">
        <f>+('[2]key results (script)'!$B$22+'[2]key results (script)'!$B$23)/1000000</f>
        <v>10771.293326000001</v>
      </c>
      <c r="C59" s="29">
        <f>+('[3]Script (key results)'!$B$22+'[3]Script (key results)'!$B$23)/1000000</f>
        <v>10649.369264000001</v>
      </c>
      <c r="D59" s="65">
        <f>C59-B59</f>
        <v>-121.92406200000005</v>
      </c>
      <c r="E59" s="26">
        <f t="shared" ref="E59" si="3">(C59-B59)/B59</f>
        <v>-1.1319352125124742E-2</v>
      </c>
      <c r="F59" s="10"/>
    </row>
    <row r="60" spans="1:8" x14ac:dyDescent="0.2">
      <c r="A60" s="12"/>
      <c r="B60" s="29"/>
      <c r="C60" s="29"/>
      <c r="D60" s="29"/>
      <c r="E60" s="26"/>
      <c r="F60" s="10"/>
    </row>
    <row r="61" spans="1:8" x14ac:dyDescent="0.2">
      <c r="A61" s="1" t="s">
        <v>116</v>
      </c>
      <c r="F61" s="10"/>
    </row>
    <row r="62" spans="1:8" ht="15" x14ac:dyDescent="0.2">
      <c r="A62" s="12" t="s">
        <v>118</v>
      </c>
      <c r="B62" s="29">
        <f>+'[2]key results (script)'!$B$73+'[2]key results (script)'!$B$74+'[2]key results (script)'!$B$75</f>
        <v>84903</v>
      </c>
      <c r="C62" s="29">
        <f>+'[3]Script (key results)'!$B$73+'[3]Script (key results)'!$B$74+'[3]Script (key results)'!$B$75</f>
        <v>85013</v>
      </c>
      <c r="D62" s="28">
        <f t="shared" ref="D62:D63" si="4">C62-B62</f>
        <v>110</v>
      </c>
      <c r="E62" s="26">
        <f t="shared" ref="E62:E63" si="5">(C62-B62)/B62</f>
        <v>1.2955961509016171E-3</v>
      </c>
      <c r="F62" s="10"/>
    </row>
    <row r="63" spans="1:8" ht="13.5" thickBot="1" x14ac:dyDescent="0.25">
      <c r="A63" s="12" t="s">
        <v>117</v>
      </c>
      <c r="B63" s="29">
        <f>+'[2]key results (script)'!$B$34+'[2]key results (script)'!$B$35</f>
        <v>106852</v>
      </c>
      <c r="C63" s="29">
        <f>+'[3]Script (key results)'!$B$34+'[3]Script (key results)'!$B$35</f>
        <v>106970</v>
      </c>
      <c r="D63" s="29">
        <f t="shared" si="4"/>
        <v>118</v>
      </c>
      <c r="E63" s="26">
        <f t="shared" si="5"/>
        <v>1.1043312244974357E-3</v>
      </c>
      <c r="F63" s="10"/>
    </row>
    <row r="64" spans="1:8" x14ac:dyDescent="0.2">
      <c r="A64" s="78" t="s">
        <v>86</v>
      </c>
      <c r="B64" s="78"/>
      <c r="C64" s="78"/>
      <c r="D64" s="78"/>
      <c r="E64" s="78"/>
    </row>
    <row r="65" spans="1:5" ht="80.25" customHeight="1" x14ac:dyDescent="0.2">
      <c r="A65" s="75" t="s">
        <v>128</v>
      </c>
      <c r="B65" s="75"/>
      <c r="C65" s="75"/>
      <c r="D65" s="75"/>
      <c r="E65" s="75"/>
    </row>
  </sheetData>
  <mergeCells count="3">
    <mergeCell ref="A64:E64"/>
    <mergeCell ref="A65:E65"/>
    <mergeCell ref="C5:E5"/>
  </mergeCells>
  <pageMargins left="0.7" right="0.7" top="0.75" bottom="0.75" header="0.3" footer="0.3"/>
  <pageSetup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6A87C-1B80-44D5-871B-1C98F5CE24A0}">
  <dimension ref="A1:E12"/>
  <sheetViews>
    <sheetView workbookViewId="0">
      <selection activeCell="B8" sqref="B8"/>
    </sheetView>
  </sheetViews>
  <sheetFormatPr defaultColWidth="9.140625" defaultRowHeight="12.75" x14ac:dyDescent="0.2"/>
  <cols>
    <col min="1" max="1" width="43.5703125" style="1" customWidth="1"/>
    <col min="2" max="5" width="14.7109375" style="17" customWidth="1"/>
    <col min="6" max="16384" width="9.140625" style="1"/>
  </cols>
  <sheetData>
    <row r="1" spans="1:5" x14ac:dyDescent="0.2">
      <c r="A1" s="6" t="s">
        <v>85</v>
      </c>
    </row>
    <row r="2" spans="1:5" x14ac:dyDescent="0.2">
      <c r="A2" s="6" t="s">
        <v>146</v>
      </c>
    </row>
    <row r="3" spans="1:5" x14ac:dyDescent="0.2">
      <c r="A3" s="70" t="s">
        <v>136</v>
      </c>
    </row>
    <row r="4" spans="1:5" s="30" customFormat="1" x14ac:dyDescent="0.2">
      <c r="A4" s="1" t="s">
        <v>114</v>
      </c>
      <c r="B4" s="60"/>
      <c r="C4" s="60"/>
      <c r="D4" s="60"/>
      <c r="E4" s="60"/>
    </row>
    <row r="5" spans="1:5" ht="26.25" customHeight="1" thickBot="1" x14ac:dyDescent="0.25">
      <c r="B5" s="9"/>
      <c r="C5" s="79" t="s">
        <v>147</v>
      </c>
      <c r="D5" s="79"/>
      <c r="E5" s="79"/>
    </row>
    <row r="6" spans="1:5" ht="39" thickBot="1" x14ac:dyDescent="0.25">
      <c r="A6" s="3"/>
      <c r="B6" s="23" t="s">
        <v>38</v>
      </c>
      <c r="C6" s="23" t="s">
        <v>37</v>
      </c>
      <c r="D6" s="23" t="s">
        <v>120</v>
      </c>
      <c r="E6" s="23" t="s">
        <v>77</v>
      </c>
    </row>
    <row r="7" spans="1:5" ht="27.75" x14ac:dyDescent="0.2">
      <c r="A7" s="64" t="s">
        <v>119</v>
      </c>
      <c r="B7" s="9"/>
      <c r="C7" s="9"/>
      <c r="D7" s="9"/>
    </row>
    <row r="8" spans="1:5" ht="15" x14ac:dyDescent="0.2">
      <c r="A8" s="2" t="s">
        <v>115</v>
      </c>
      <c r="B8" s="63">
        <f>SUM('7. Program Summary'!B9,'7. Program Summary'!B13,'7. Program Summary'!B17,'7. Program Summary'!B21,'7. Program Summary'!B25,'7. Program Summary'!B29,'7. Program Summary'!B33,'7. Program Summary'!B37,'7. Program Summary'!B41)</f>
        <v>19877.345968000001</v>
      </c>
      <c r="C8" s="63">
        <f>SUM('7. Program Summary'!C9,'7. Program Summary'!C13,'7. Program Summary'!C17,'7. Program Summary'!C21,'7. Program Summary'!C25,'7. Program Summary'!C29,'7. Program Summary'!C33,'7. Program Summary'!C37,'7. Program Summary'!C41)</f>
        <v>21601.985504000004</v>
      </c>
      <c r="D8" s="63">
        <f>+C8-B8</f>
        <v>1724.6395360000024</v>
      </c>
      <c r="E8" s="26">
        <f>(C8-B8)/B8</f>
        <v>8.6764074981461436E-2</v>
      </c>
    </row>
    <row r="9" spans="1:5" x14ac:dyDescent="0.2">
      <c r="A9" s="2" t="s">
        <v>133</v>
      </c>
      <c r="B9" s="63">
        <f>+'7. Program Summary'!B44+'7. Program Summary'!B59</f>
        <v>46669.543566</v>
      </c>
      <c r="C9" s="63">
        <f>+'7. Program Summary'!C44+'7. Program Summary'!C59</f>
        <v>46143.913264000003</v>
      </c>
      <c r="D9" s="63">
        <f t="shared" ref="D9:D10" si="0">+C9-B9</f>
        <v>-525.63030199999776</v>
      </c>
      <c r="E9" s="26">
        <f>(C9-B9)/B9</f>
        <v>-1.126281214335538E-2</v>
      </c>
    </row>
    <row r="10" spans="1:5" ht="13.5" thickBot="1" x14ac:dyDescent="0.25">
      <c r="A10" s="8" t="s">
        <v>134</v>
      </c>
      <c r="B10" s="63">
        <f>(B8-B9)</f>
        <v>-26792.197597999999</v>
      </c>
      <c r="C10" s="63">
        <f>(C8-C9)</f>
        <v>-24541.927759999999</v>
      </c>
      <c r="D10" s="63">
        <f t="shared" si="0"/>
        <v>2250.2698380000002</v>
      </c>
      <c r="E10" s="26">
        <f>(C10-B10)/B10</f>
        <v>-8.3989744766886157E-2</v>
      </c>
    </row>
    <row r="11" spans="1:5" ht="27" customHeight="1" x14ac:dyDescent="0.2">
      <c r="A11" s="76" t="s">
        <v>86</v>
      </c>
      <c r="B11" s="76"/>
      <c r="C11" s="76"/>
      <c r="D11" s="76"/>
      <c r="E11" s="76"/>
    </row>
    <row r="12" spans="1:5" ht="54.75" customHeight="1" x14ac:dyDescent="0.2">
      <c r="A12" s="77" t="s">
        <v>132</v>
      </c>
      <c r="B12" s="77"/>
      <c r="C12" s="77"/>
      <c r="D12" s="77"/>
      <c r="E12" s="77"/>
    </row>
  </sheetData>
  <mergeCells count="3">
    <mergeCell ref="C5:E5"/>
    <mergeCell ref="A12:E12"/>
    <mergeCell ref="A11:E1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SPM Summary</vt:lpstr>
      <vt:lpstr>2. Poverty_Individuals_No</vt:lpstr>
      <vt:lpstr>3. Individuals Race</vt:lpstr>
      <vt:lpstr>4. Poverty_Families_No</vt:lpstr>
      <vt:lpstr>5. Household Resources</vt:lpstr>
      <vt:lpstr>6. Work Effort</vt:lpstr>
      <vt:lpstr>7. Program Summary</vt:lpstr>
      <vt:lpstr>8. Costs</vt:lpstr>
    </vt:vector>
  </TitlesOfParts>
  <Company>Urban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CPRAC Meeting - Urban Institute Enacted Policies Results, Simulation 4 - November 20, 2023</dc:title>
  <dc:creator>Urban Institute</dc:creator>
  <cp:lastModifiedBy>Pierce, Jonathan (OTDA)</cp:lastModifiedBy>
  <dcterms:created xsi:type="dcterms:W3CDTF">2023-01-09T17:55:27Z</dcterms:created>
  <dcterms:modified xsi:type="dcterms:W3CDTF">2023-11-17T20:37:54Z</dcterms:modified>
</cp:coreProperties>
</file>