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11-20\"/>
    </mc:Choice>
  </mc:AlternateContent>
  <xr:revisionPtr revIDLastSave="0" documentId="14_{BB1AEEEF-FB1F-4A3A-A021-09635CAE1488}" xr6:coauthVersionLast="47" xr6:coauthVersionMax="47" xr10:uidLastSave="{00000000-0000-0000-0000-000000000000}"/>
  <bookViews>
    <workbookView xWindow="28680" yWindow="-120" windowWidth="29040" windowHeight="158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1" l="1"/>
  <c r="C63" i="11"/>
  <c r="C62" i="11"/>
  <c r="C59" i="11"/>
  <c r="C53" i="11"/>
  <c r="C52" i="11"/>
  <c r="C49" i="11"/>
  <c r="C47" i="11"/>
  <c r="C46" i="11"/>
  <c r="C44" i="11"/>
  <c r="C41" i="11"/>
  <c r="C40" i="11"/>
  <c r="C37" i="11"/>
  <c r="C36" i="11"/>
  <c r="C33" i="11"/>
  <c r="C32" i="11"/>
  <c r="C29" i="11"/>
  <c r="C28" i="11"/>
  <c r="C24" i="11"/>
  <c r="C21" i="11"/>
  <c r="C20" i="11"/>
  <c r="C17" i="11"/>
  <c r="C16" i="11"/>
  <c r="C13" i="11"/>
  <c r="C12" i="11"/>
  <c r="C9" i="1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50" i="11" l="1"/>
  <c r="B49" i="11"/>
  <c r="E49" i="11" s="1"/>
  <c r="D50" i="11" l="1"/>
  <c r="E50" i="11"/>
  <c r="D49" i="11"/>
  <c r="E56" i="11"/>
  <c r="E55" i="11"/>
  <c r="C8" i="5" l="1"/>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B26" i="7"/>
  <c r="F30" i="7" s="1"/>
  <c r="B19" i="7"/>
  <c r="F22" i="7" s="1"/>
  <c r="B13" i="7"/>
  <c r="F18" i="7" s="1"/>
  <c r="B7" i="7"/>
  <c r="F9" i="7" s="1"/>
  <c r="B7" i="1"/>
  <c r="C46" i="7"/>
  <c r="C45" i="7"/>
  <c r="C44" i="7"/>
  <c r="C43" i="7"/>
  <c r="C41" i="7"/>
  <c r="C40" i="7"/>
  <c r="I40" i="7" s="1"/>
  <c r="C39" i="7"/>
  <c r="C38" i="7"/>
  <c r="C35" i="7"/>
  <c r="C34" i="7"/>
  <c r="C33" i="7"/>
  <c r="C32" i="7"/>
  <c r="C30" i="7"/>
  <c r="C29" i="7"/>
  <c r="I29" i="7" s="1"/>
  <c r="C28" i="7"/>
  <c r="C27" i="7"/>
  <c r="C24" i="7"/>
  <c r="C23" i="7"/>
  <c r="C22" i="7"/>
  <c r="C21" i="7"/>
  <c r="C18" i="7"/>
  <c r="C17" i="7"/>
  <c r="D17" i="7" s="1"/>
  <c r="C16" i="7"/>
  <c r="C15" i="7"/>
  <c r="D15" i="7" s="1"/>
  <c r="C12" i="7"/>
  <c r="C11" i="7"/>
  <c r="C10" i="7"/>
  <c r="C9" i="7"/>
  <c r="C10" i="12"/>
  <c r="I45" i="7"/>
  <c r="F44" i="7"/>
  <c r="F43" i="7"/>
  <c r="I39" i="7"/>
  <c r="F38" i="7"/>
  <c r="F35" i="7"/>
  <c r="F33" i="7"/>
  <c r="F32" i="7"/>
  <c r="F24" i="7"/>
  <c r="F12" i="7"/>
  <c r="F11" i="7"/>
  <c r="D35" i="7"/>
  <c r="D33" i="7"/>
  <c r="D22" i="7"/>
  <c r="D29" i="7" l="1"/>
  <c r="F27" i="7"/>
  <c r="F15" i="7"/>
  <c r="F21" i="7"/>
  <c r="D27" i="7"/>
  <c r="D18" i="7"/>
  <c r="D21" i="7"/>
  <c r="D23" i="7"/>
  <c r="D32" i="7"/>
  <c r="H32" i="7" s="1"/>
  <c r="D34" i="7"/>
  <c r="I17" i="7"/>
  <c r="I34" i="7"/>
  <c r="H15" i="7"/>
  <c r="I23" i="7"/>
  <c r="F16" i="7"/>
  <c r="F28" i="7"/>
  <c r="D16" i="7"/>
  <c r="D28" i="7"/>
  <c r="D30" i="7"/>
  <c r="E44" i="11"/>
  <c r="H30" i="7"/>
  <c r="D11" i="7"/>
  <c r="H11" i="7" s="1"/>
  <c r="E9" i="5"/>
  <c r="D59" i="11"/>
  <c r="D44" i="11"/>
  <c r="D40" i="7"/>
  <c r="F34" i="7"/>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H38" i="7" s="1"/>
  <c r="D41" i="7"/>
  <c r="H41" i="7" s="1"/>
  <c r="D39" i="7"/>
  <c r="D43" i="7"/>
  <c r="H43" i="7" s="1"/>
  <c r="D44" i="7"/>
  <c r="H44" i="7" s="1"/>
  <c r="D45" i="7"/>
  <c r="D9" i="7"/>
  <c r="H9" i="7" s="1"/>
  <c r="D10" i="7"/>
  <c r="D12" i="7"/>
  <c r="H12" i="7" s="1"/>
  <c r="H21" i="7" l="1"/>
  <c r="H27" i="7"/>
  <c r="H34" i="7"/>
  <c r="H16" i="7"/>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E25" i="1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42" i="1"/>
  <c r="G43" i="1"/>
  <c r="G44" i="1"/>
  <c r="G45" i="1"/>
  <c r="G39" i="12"/>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I25" i="1"/>
  <c r="D25" i="1"/>
  <c r="H21" i="10"/>
  <c r="G31" i="1"/>
  <c r="D9" i="11"/>
  <c r="G40" i="1"/>
  <c r="D25" i="11"/>
  <c r="G26" i="12"/>
  <c r="G23" i="7"/>
  <c r="G43" i="12"/>
  <c r="G59" i="12"/>
  <c r="D41" i="11"/>
  <c r="H16" i="10" l="1"/>
  <c r="H15" i="10"/>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<sst xmlns="http://schemas.openxmlformats.org/spreadsheetml/2006/main" count="348" uniqueCount="148">
  <si>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</si>
  <si>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</si>
  <si>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</si>
  <si>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</si>
  <si>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</si>
  <si>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</si>
  <si>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</si>
  <si>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</si>
  <si>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</si>
  <si>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</si>
  <si>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</si>
  <si>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</si>
  <si>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</si>
  <si>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</si>
  <si>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</si>
  <si>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</si>
  <si>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</si>
  <si>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</si>
  <si>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</si>
  <si>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</si>
  <si>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</si>
  <si>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</si>
  <si>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</si>
  <si>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</si>
  <si>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</si>
  <si>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</si>
  <si>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</si>
  <si>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</si>
  <si>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</si>
  <si>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</si>
  <si>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</si>
  <si>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</si>
  <si>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</si>
  <si>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</si>
  <si>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</si>
  <si>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</si>
  <si>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</si>
  <si>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</si>
  <si>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</si>
  <si>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</si>
  <si>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</si>
  <si>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</si>
  <si>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</si>
  <si>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</si>
  <si>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</si>
  <si>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</si>
  <si>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</si>
  <si>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</si>
  <si>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</si>
  <si>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</si>
  <si>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</si>
  <si>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</si>
  <si>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</si>
  <si>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</si>
  <si>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</si>
  <si>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</si>
  <si>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</si>
  <si>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</si>
  <si>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</si>
  <si>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</si>
  <si>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</si>
  <si>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</si>
  <si>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</si>
  <si>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</si>
  <si>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</si>
  <si>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</si>
  <si>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</si>
  <si>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</si>
  <si>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</si>
  <si>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</si>
  <si>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</si>
  <si>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</si>
  <si>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</si>
  <si>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</si>
  <si>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</si>
  <si>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</si>
  <si>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</si>
  <si>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</si>
  <si>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</si>
  <si>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</si>
  <si>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</si>
  <si>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</si>
  <si>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</si>
  <si>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</si>
  <si>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</si>
  <si>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</si>
  <si>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</si>
  <si>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</si>
  <si>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</si>
  <si>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</si>
  <si>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</si>
  <si>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</si>
  <si>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</si>
  <si>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</si>
  <si>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</si>
  <si>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</si>
  <si>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</si>
  <si>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</si>
  <si>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</si>
  <si>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</si>
  <si>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</si>
  <si>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</si>
  <si>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</si>
  <si>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</si>
  <si>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</si>
  <si>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</si>
  <si>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</si>
  <si>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</si>
  <si>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</si>
  <si>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</si>
  <si>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</si>
  <si>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</si>
  <si>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</si>
  <si>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</si>
  <si>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</si>
  <si>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</si>
  <si>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</si>
  <si>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</si>
  <si>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</si>
  <si>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</si>
  <si>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</si>
  <si>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</si>
  <si>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</si>
  <si>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</si>
  <si>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</si>
  <si>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</si>
  <si>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</si>
  <si>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</si>
  <si>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</si>
  <si>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</si>
  <si>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</si>
  <si>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</si>
  <si>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</si>
  <si>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</si>
  <si>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</si>
  <si>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</si>
  <si>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</si>
  <si>
    <t>Enacted Policies for Empire State Child Credit, Public Assistance, Child Care Subsidies, Minimum Wage, Temporary ESCC Expansion</t>
  </si>
  <si>
    <t>Enacted Policies for Empire State Child Credit, Public Assistance, Child Care Subsidies, and Minimum Wage, Plus Temporary ESCC Expansion</t>
  </si>
  <si>
    <t>People in SPM Poverty by Demographic Characteristics, Under Enacted Policies for Empire State Child Credit, Public Assistance, Child Care Subsidies, Minimum Wage, and Temporary ESCC Expansion, 2019</t>
  </si>
  <si>
    <t>Characteristics of Individuals in SPM Poverty in New York Under Enacted Policies for Empire State Child Credit, Public Assistance, Child Care Subsidies, Minimum Wage, and Temporary ESCC Expansion, 2019</t>
  </si>
  <si>
    <t>Characteristics of Individuals by Race in SPM Poverty in New York Under Enacted Policies for Empire State Child Credit, Public Assistance, Child Care Subsidies, Minimum Wage, and Temporary ESCC Expansion, 2019</t>
  </si>
  <si>
    <t xml:space="preserve">Characteristics of Families in SPM Poverty in New York Under Enacted Policies for Empire State Child Credit, Public Assistance, Child Care Subsidies, Minimum Wage, and Temporary ESCC Expansion, 2019  </t>
  </si>
  <si>
    <t>Changes in Household Resources Under Enacted Policies for Empire State Child Credit, Public Assistance, Child Care Subsidies, Minimum Wage, and Temporary ESCC Expansion, 20191</t>
  </si>
  <si>
    <t>Employment Changes by Characteristics Under Enacted Policies for Empire State Child Credit, Public Assistance, Child Care Subsidies, Minimum Wage, and Temporary ESCC Expansion, 2019</t>
  </si>
  <si>
    <t>Change in Benefit Programs Under Enacted Policies for Empire State Child Credit, Public Assistance, Child Care Subsidies, Minimum Wage, and Temporary ESCC Expansion, 2019</t>
  </si>
  <si>
    <t>Change in Government Costs Under Enacted Policies for Empire State Child Credit, Public Assistance, Child Care Subsidies, Minimum Wage, and Temporary ESCC Expansion, 2019</t>
  </si>
  <si>
    <t>Enacted Policies for Empire State Child Credit, Public Assistance, Child Care Subsidies, Minimum Wage, and Temporary ESCC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</si>
</sst>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165" fontId="1" fillId="0" borderId="0" xfId="0" applyNumberFormat="1" applyFont="1" applyFill="1" applyAlignment="1">
      <alignment horizontal="center"/>
    </xf>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center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5%20Enacted%20Policy%20Sims\Task%205%20final%20results\Simulation%20output%20by%20program\NY19_Enact3_V2MW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 val="placeholder for nav tables"/>
    </sheetNames>
    <sheetDataSet>
      <sheetData sheetId="0">
        <row r="172">
          <cell r="C172">
            <v>8068</v>
          </cell>
          <cell r="D172">
            <v>2087</v>
          </cell>
          <cell r="G172">
            <v>412</v>
          </cell>
          <cell r="H172">
            <v>349</v>
          </cell>
        </row>
        <row r="615">
          <cell r="J615">
            <v>18879900</v>
          </cell>
        </row>
        <row r="617">
          <cell r="J617">
            <v>10430800</v>
          </cell>
        </row>
        <row r="618">
          <cell r="J618">
            <v>2625710</v>
          </cell>
        </row>
        <row r="619">
          <cell r="J619">
            <v>1627800</v>
          </cell>
        </row>
        <row r="620">
          <cell r="J620">
            <v>3645790</v>
          </cell>
        </row>
        <row r="621">
          <cell r="J621">
            <v>549715</v>
          </cell>
        </row>
        <row r="633">
          <cell r="J633">
            <v>3993930</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1033">
          <cell r="J1033">
            <v>7253210</v>
          </cell>
        </row>
        <row r="1259">
          <cell r="J1259">
            <v>2952930</v>
          </cell>
        </row>
        <row r="2024">
          <cell r="H2024">
            <v>8135460</v>
          </cell>
        </row>
        <row r="2044">
          <cell r="H2044">
            <v>18879900</v>
          </cell>
        </row>
        <row r="2631">
          <cell r="H2631">
            <v>874058</v>
          </cell>
        </row>
        <row r="2651">
          <cell r="H2651">
            <v>2087430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ow r="215">
          <cell r="C215">
            <v>442</v>
          </cell>
          <cell r="D215">
            <v>49</v>
          </cell>
          <cell r="G215">
            <v>12</v>
          </cell>
          <cell r="H215">
            <v>21</v>
          </cell>
        </row>
        <row r="216">
          <cell r="C216">
            <v>183</v>
          </cell>
          <cell r="D216">
            <v>41</v>
          </cell>
          <cell r="G216">
            <v>11</v>
          </cell>
          <cell r="H216">
            <v>15</v>
          </cell>
        </row>
        <row r="217">
          <cell r="C217">
            <v>141</v>
          </cell>
          <cell r="D217">
            <v>33</v>
          </cell>
          <cell r="G217">
            <v>9</v>
          </cell>
          <cell r="H217">
            <v>11</v>
          </cell>
        </row>
        <row r="218">
          <cell r="C218">
            <v>542</v>
          </cell>
          <cell r="D218">
            <v>157</v>
          </cell>
          <cell r="G218">
            <v>42</v>
          </cell>
          <cell r="H218">
            <v>46</v>
          </cell>
        </row>
        <row r="219">
          <cell r="C219">
            <v>729</v>
          </cell>
          <cell r="D219">
            <v>228</v>
          </cell>
          <cell r="G219">
            <v>62</v>
          </cell>
          <cell r="H219">
            <v>62</v>
          </cell>
        </row>
        <row r="220">
          <cell r="C220">
            <v>602</v>
          </cell>
          <cell r="D220">
            <v>215</v>
          </cell>
          <cell r="G220">
            <v>57</v>
          </cell>
          <cell r="H220">
            <v>57</v>
          </cell>
        </row>
        <row r="221">
          <cell r="C221">
            <v>498</v>
          </cell>
          <cell r="D221">
            <v>181</v>
          </cell>
          <cell r="G221">
            <v>49</v>
          </cell>
          <cell r="H221">
            <v>35</v>
          </cell>
        </row>
        <row r="222">
          <cell r="C222">
            <v>433</v>
          </cell>
          <cell r="D222">
            <v>134</v>
          </cell>
          <cell r="G222">
            <v>31</v>
          </cell>
          <cell r="H222">
            <v>23</v>
          </cell>
        </row>
        <row r="615">
          <cell r="D615">
            <v>667553</v>
          </cell>
          <cell r="E615">
            <v>2556800</v>
          </cell>
          <cell r="F615">
            <v>5822720</v>
          </cell>
          <cell r="G615">
            <v>8271460</v>
          </cell>
        </row>
        <row r="617">
          <cell r="D617">
            <v>288405</v>
          </cell>
          <cell r="E617">
            <v>951558</v>
          </cell>
          <cell r="F617">
            <v>2077290</v>
          </cell>
          <cell r="G617">
            <v>3204860</v>
          </cell>
        </row>
        <row r="618">
          <cell r="D618">
            <v>112482</v>
          </cell>
          <cell r="E618">
            <v>447202</v>
          </cell>
          <cell r="F618">
            <v>1130750</v>
          </cell>
          <cell r="G618">
            <v>1540470</v>
          </cell>
        </row>
        <row r="619">
          <cell r="D619">
            <v>96164</v>
          </cell>
          <cell r="E619">
            <v>344771</v>
          </cell>
          <cell r="F619">
            <v>662867</v>
          </cell>
          <cell r="G619">
            <v>860298</v>
          </cell>
        </row>
        <row r="620">
          <cell r="D620">
            <v>148349</v>
          </cell>
          <cell r="E620">
            <v>720529</v>
          </cell>
          <cell r="F620">
            <v>1760610</v>
          </cell>
          <cell r="G620">
            <v>2395020</v>
          </cell>
        </row>
        <row r="621">
          <cell r="D621">
            <v>22153</v>
          </cell>
          <cell r="E621">
            <v>92743</v>
          </cell>
          <cell r="F621">
            <v>191205</v>
          </cell>
          <cell r="G621">
            <v>270808</v>
          </cell>
        </row>
        <row r="633">
          <cell r="D633">
            <v>88122</v>
          </cell>
          <cell r="E633">
            <v>556335</v>
          </cell>
          <cell r="F633">
            <v>1472790</v>
          </cell>
          <cell r="G633">
            <v>2095780</v>
          </cell>
        </row>
        <row r="634">
          <cell r="D634">
            <v>137320</v>
          </cell>
          <cell r="E634">
            <v>341828</v>
          </cell>
          <cell r="F634">
            <v>648214</v>
          </cell>
          <cell r="G634">
            <v>867762</v>
          </cell>
        </row>
        <row r="635">
          <cell r="D635">
            <v>242556</v>
          </cell>
          <cell r="E635">
            <v>885409</v>
          </cell>
          <cell r="F635">
            <v>2052530</v>
          </cell>
          <cell r="G635">
            <v>3037120</v>
          </cell>
        </row>
        <row r="636">
          <cell r="D636">
            <v>97291</v>
          </cell>
          <cell r="E636">
            <v>322318</v>
          </cell>
          <cell r="F636">
            <v>664798</v>
          </cell>
          <cell r="G636">
            <v>941471</v>
          </cell>
        </row>
        <row r="637">
          <cell r="D637">
            <v>102264</v>
          </cell>
          <cell r="E637">
            <v>450913</v>
          </cell>
          <cell r="F637">
            <v>984384</v>
          </cell>
          <cell r="G637">
            <v>1329320</v>
          </cell>
        </row>
        <row r="839">
          <cell r="E839">
            <v>556335</v>
          </cell>
        </row>
        <row r="841">
          <cell r="D841">
            <v>27898</v>
          </cell>
          <cell r="E841">
            <v>176561</v>
          </cell>
          <cell r="F841">
            <v>442543</v>
          </cell>
          <cell r="G841">
            <v>698625</v>
          </cell>
        </row>
        <row r="842">
          <cell r="D842">
            <v>17121</v>
          </cell>
          <cell r="E842">
            <v>90269</v>
          </cell>
          <cell r="F842">
            <v>290924</v>
          </cell>
          <cell r="G842">
            <v>400093</v>
          </cell>
        </row>
        <row r="843">
          <cell r="D843">
            <v>9243</v>
          </cell>
          <cell r="E843">
            <v>55503</v>
          </cell>
          <cell r="F843">
            <v>134584</v>
          </cell>
          <cell r="G843">
            <v>176048</v>
          </cell>
        </row>
        <row r="844">
          <cell r="D844">
            <v>28303</v>
          </cell>
          <cell r="E844">
            <v>202549</v>
          </cell>
          <cell r="F844">
            <v>530753</v>
          </cell>
        </row>
        <row r="845">
          <cell r="D845">
            <v>5557</v>
          </cell>
          <cell r="E845">
            <v>31453</v>
          </cell>
          <cell r="F845">
            <v>73986</v>
          </cell>
          <cell r="G845">
            <v>104681</v>
          </cell>
        </row>
        <row r="857">
          <cell r="D857">
            <v>13585</v>
          </cell>
          <cell r="E857">
            <v>95362</v>
          </cell>
          <cell r="F857">
            <v>245823</v>
          </cell>
          <cell r="G857">
            <v>348451</v>
          </cell>
        </row>
        <row r="858">
          <cell r="D858">
            <v>11963</v>
          </cell>
          <cell r="E858">
            <v>73317</v>
          </cell>
          <cell r="F858">
            <v>188769</v>
          </cell>
          <cell r="G858">
            <v>257726</v>
          </cell>
        </row>
        <row r="859">
          <cell r="E859">
            <v>227585</v>
          </cell>
        </row>
        <row r="860">
          <cell r="E860">
            <v>160071</v>
          </cell>
        </row>
        <row r="1033">
          <cell r="D1033">
            <v>392542</v>
          </cell>
          <cell r="E1033">
            <v>1011410</v>
          </cell>
          <cell r="F1033">
            <v>1926130</v>
          </cell>
          <cell r="G1033">
            <v>2724700</v>
          </cell>
        </row>
        <row r="1259">
          <cell r="D1259">
            <v>99531</v>
          </cell>
          <cell r="E1259">
            <v>426066</v>
          </cell>
          <cell r="F1259">
            <v>907944</v>
          </cell>
          <cell r="G1259">
            <v>1210870</v>
          </cell>
        </row>
        <row r="2024">
          <cell r="C2024">
            <v>352021</v>
          </cell>
          <cell r="D2024">
            <v>1517620</v>
          </cell>
          <cell r="E2024">
            <v>3401820</v>
          </cell>
          <cell r="F2024">
            <v>4493120</v>
          </cell>
        </row>
        <row r="2044">
          <cell r="C2044">
            <v>667553</v>
          </cell>
          <cell r="D2044">
            <v>2556800</v>
          </cell>
          <cell r="E2044">
            <v>5822720</v>
          </cell>
          <cell r="F2044">
            <v>8271460</v>
          </cell>
        </row>
        <row r="2631">
          <cell r="C2631">
            <v>25779</v>
          </cell>
          <cell r="D2631">
            <v>165648</v>
          </cell>
          <cell r="E2631">
            <v>418187</v>
          </cell>
          <cell r="F2631">
            <v>552220</v>
          </cell>
        </row>
        <row r="2651">
          <cell r="C2651">
            <v>49081</v>
          </cell>
          <cell r="D2651">
            <v>280064</v>
          </cell>
          <cell r="E2651">
            <v>723234</v>
          </cell>
          <cell r="F2651">
            <v>1038220</v>
          </cell>
        </row>
      </sheetData>
      <sheetData sheetId="1">
        <row r="13">
          <cell r="B13">
            <v>600.45000000000005</v>
          </cell>
        </row>
        <row r="15">
          <cell r="B15">
            <v>105837</v>
          </cell>
        </row>
        <row r="22">
          <cell r="B22">
            <v>10791041024</v>
          </cell>
        </row>
        <row r="23">
          <cell r="B23">
            <v>-19747698</v>
          </cell>
        </row>
        <row r="34">
          <cell r="B34">
            <v>110280</v>
          </cell>
        </row>
        <row r="35">
          <cell r="B35">
            <v>-3428</v>
          </cell>
        </row>
        <row r="52">
          <cell r="B52">
            <v>107706</v>
          </cell>
        </row>
        <row r="54">
          <cell r="B54">
            <v>513850624</v>
          </cell>
        </row>
        <row r="56">
          <cell r="B56">
            <v>546678</v>
          </cell>
        </row>
        <row r="60">
          <cell r="B60">
            <v>7302606336</v>
          </cell>
        </row>
        <row r="70">
          <cell r="B70">
            <v>1469150</v>
          </cell>
        </row>
        <row r="71">
          <cell r="B71">
            <v>226947312</v>
          </cell>
        </row>
        <row r="73">
          <cell r="B73">
            <v>40627</v>
          </cell>
        </row>
        <row r="74">
          <cell r="B74">
            <v>40627</v>
          </cell>
        </row>
        <row r="75">
          <cell r="B75">
            <v>3649</v>
          </cell>
        </row>
        <row r="87">
          <cell r="B87">
            <v>1427085</v>
          </cell>
        </row>
        <row r="88">
          <cell r="B88">
            <v>3750447360</v>
          </cell>
        </row>
        <row r="266">
          <cell r="B266">
            <v>3524579328</v>
          </cell>
        </row>
        <row r="267">
          <cell r="B267">
            <v>76778</v>
          </cell>
        </row>
        <row r="268">
          <cell r="B268">
            <v>635985280</v>
          </cell>
        </row>
        <row r="271">
          <cell r="B271">
            <v>524744</v>
          </cell>
        </row>
        <row r="276">
          <cell r="B276">
            <v>36737630208</v>
          </cell>
        </row>
        <row r="277">
          <cell r="B277">
            <v>-839379968</v>
          </cell>
        </row>
        <row r="278">
          <cell r="B278">
            <v>1008817</v>
          </cell>
        </row>
        <row r="279">
          <cell r="B279">
            <v>619</v>
          </cell>
        </row>
        <row r="280">
          <cell r="B280">
            <v>447943</v>
          </cell>
        </row>
        <row r="281">
          <cell r="B281">
            <v>496</v>
          </cell>
        </row>
        <row r="296">
          <cell r="B296">
            <v>111850</v>
          </cell>
        </row>
        <row r="297">
          <cell r="B297">
            <v>816161344</v>
          </cell>
        </row>
        <row r="298">
          <cell r="B298">
            <v>9057</v>
          </cell>
        </row>
        <row r="303">
          <cell r="B303">
            <v>376857</v>
          </cell>
        </row>
        <row r="304">
          <cell r="B304">
            <v>1904940672</v>
          </cell>
        </row>
        <row r="306">
          <cell r="B306">
            <v>38034</v>
          </cell>
        </row>
        <row r="308">
          <cell r="B308">
            <v>196137</v>
          </cell>
        </row>
        <row r="310">
          <cell r="B310">
            <v>90015</v>
          </cell>
        </row>
        <row r="311">
          <cell r="B311">
            <v>352027712</v>
          </cell>
        </row>
      </sheetData>
      <sheetData sheetId="2">
        <row r="8">
          <cell r="B8">
            <v>1687572</v>
          </cell>
          <cell r="C8">
            <v>1018078381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key results)"/>
      <sheetName val="SPM tables"/>
      <sheetName val="CustomOutput (table 5)"/>
      <sheetName val="ESCC"/>
    </sheetNames>
    <sheetDataSet>
      <sheetData sheetId="0">
        <row r="13">
          <cell r="B13">
            <v>2311.5700000000002</v>
          </cell>
        </row>
        <row r="15">
          <cell r="B15">
            <v>230621</v>
          </cell>
        </row>
        <row r="22">
          <cell r="B22">
            <v>10803150848</v>
          </cell>
        </row>
        <row r="23">
          <cell r="B23">
            <v>-19135644</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1424866</v>
          </cell>
        </row>
        <row r="88">
          <cell r="B88">
            <v>3689087488</v>
          </cell>
        </row>
        <row r="266">
          <cell r="B266">
            <v>3523630080</v>
          </cell>
        </row>
        <row r="267">
          <cell r="B267">
            <v>76778</v>
          </cell>
        </row>
        <row r="268">
          <cell r="B268">
            <v>634534912</v>
          </cell>
        </row>
        <row r="271">
          <cell r="B271">
            <v>524597</v>
          </cell>
        </row>
        <row r="276">
          <cell r="B276">
            <v>36612321280</v>
          </cell>
        </row>
        <row r="277">
          <cell r="B277">
            <v>-925445248</v>
          </cell>
        </row>
        <row r="278">
          <cell r="B278">
            <v>1004818</v>
          </cell>
        </row>
        <row r="279">
          <cell r="B279">
            <v>617</v>
          </cell>
        </row>
        <row r="280">
          <cell r="B280">
            <v>483375</v>
          </cell>
        </row>
        <row r="281">
          <cell r="B281">
            <v>375</v>
          </cell>
        </row>
        <row r="296">
          <cell r="B296">
            <v>129954</v>
          </cell>
        </row>
        <row r="297">
          <cell r="B297">
            <v>946201216</v>
          </cell>
        </row>
        <row r="298">
          <cell r="B298">
            <v>11483</v>
          </cell>
        </row>
        <row r="303">
          <cell r="B303">
            <v>377128</v>
          </cell>
        </row>
        <row r="304">
          <cell r="B304">
            <v>1910539136</v>
          </cell>
        </row>
        <row r="306">
          <cell r="B306">
            <v>38034</v>
          </cell>
        </row>
        <row r="308">
          <cell r="B308">
            <v>196137</v>
          </cell>
        </row>
        <row r="310">
          <cell r="B310">
            <v>90015</v>
          </cell>
        </row>
        <row r="311">
          <cell r="B311">
            <v>352027712</v>
          </cell>
        </row>
      </sheetData>
      <sheetData sheetId="1">
        <row r="215">
          <cell r="C215">
            <v>435</v>
          </cell>
          <cell r="D215">
            <v>45</v>
          </cell>
          <cell r="G215">
            <v>11</v>
          </cell>
          <cell r="H215">
            <v>20</v>
          </cell>
        </row>
        <row r="216">
          <cell r="C216">
            <v>182</v>
          </cell>
          <cell r="D216">
            <v>39</v>
          </cell>
          <cell r="G216">
            <v>10</v>
          </cell>
          <cell r="H216">
            <v>16</v>
          </cell>
        </row>
        <row r="217">
          <cell r="C217">
            <v>136</v>
          </cell>
          <cell r="D217">
            <v>30</v>
          </cell>
          <cell r="G217">
            <v>9</v>
          </cell>
          <cell r="H217">
            <v>11</v>
          </cell>
        </row>
        <row r="218">
          <cell r="C218">
            <v>526</v>
          </cell>
          <cell r="D218">
            <v>142</v>
          </cell>
          <cell r="G218">
            <v>38</v>
          </cell>
          <cell r="H218">
            <v>42</v>
          </cell>
        </row>
        <row r="219">
          <cell r="C219">
            <v>724</v>
          </cell>
          <cell r="D219">
            <v>224</v>
          </cell>
          <cell r="G219">
            <v>60</v>
          </cell>
          <cell r="H219">
            <v>59</v>
          </cell>
        </row>
        <row r="220">
          <cell r="C220">
            <v>600</v>
          </cell>
          <cell r="D220">
            <v>218</v>
          </cell>
          <cell r="G220">
            <v>59</v>
          </cell>
          <cell r="H220">
            <v>58</v>
          </cell>
        </row>
        <row r="221">
          <cell r="C221">
            <v>508</v>
          </cell>
          <cell r="D221">
            <v>186</v>
          </cell>
          <cell r="G221">
            <v>48</v>
          </cell>
          <cell r="H221">
            <v>40</v>
          </cell>
        </row>
        <row r="222">
          <cell r="C222">
            <v>442</v>
          </cell>
          <cell r="D222">
            <v>142</v>
          </cell>
          <cell r="G222">
            <v>35</v>
          </cell>
          <cell r="H222">
            <v>24</v>
          </cell>
        </row>
        <row r="615">
          <cell r="D615">
            <v>652193</v>
          </cell>
          <cell r="E615">
            <v>2446610</v>
          </cell>
          <cell r="F615">
            <v>5701250</v>
          </cell>
          <cell r="G615">
            <v>8210980</v>
          </cell>
        </row>
        <row r="617">
          <cell r="D617">
            <v>284080</v>
          </cell>
          <cell r="E617">
            <v>917689</v>
          </cell>
          <cell r="F617">
            <v>2027540</v>
          </cell>
          <cell r="G617">
            <v>3173000</v>
          </cell>
        </row>
        <row r="618">
          <cell r="D618">
            <v>108268</v>
          </cell>
          <cell r="E618">
            <v>427017</v>
          </cell>
          <cell r="F618">
            <v>1102700</v>
          </cell>
          <cell r="G618">
            <v>1531190</v>
          </cell>
        </row>
        <row r="619">
          <cell r="D619">
            <v>94961</v>
          </cell>
          <cell r="E619">
            <v>328996</v>
          </cell>
          <cell r="F619">
            <v>655962</v>
          </cell>
          <cell r="G619">
            <v>855866</v>
          </cell>
        </row>
        <row r="620">
          <cell r="D620">
            <v>144357</v>
          </cell>
          <cell r="E620">
            <v>682586</v>
          </cell>
          <cell r="F620">
            <v>1727580</v>
          </cell>
          <cell r="G620">
            <v>2382180</v>
          </cell>
        </row>
        <row r="621">
          <cell r="D621">
            <v>20527</v>
          </cell>
          <cell r="E621">
            <v>90320</v>
          </cell>
          <cell r="F621">
            <v>187471</v>
          </cell>
          <cell r="G621">
            <v>268749</v>
          </cell>
        </row>
        <row r="633">
          <cell r="D633">
            <v>81960</v>
          </cell>
          <cell r="E633">
            <v>501358</v>
          </cell>
          <cell r="F633">
            <v>1416520</v>
          </cell>
          <cell r="G633">
            <v>2071800</v>
          </cell>
        </row>
        <row r="634">
          <cell r="D634">
            <v>135943</v>
          </cell>
          <cell r="E634">
            <v>332349</v>
          </cell>
          <cell r="F634">
            <v>638215</v>
          </cell>
          <cell r="G634">
            <v>863707</v>
          </cell>
        </row>
        <row r="635">
          <cell r="D635">
            <v>235829</v>
          </cell>
          <cell r="E635">
            <v>848469</v>
          </cell>
          <cell r="F635">
            <v>2006010</v>
          </cell>
          <cell r="G635">
            <v>3009770</v>
          </cell>
        </row>
        <row r="636">
          <cell r="D636">
            <v>96197</v>
          </cell>
          <cell r="E636">
            <v>315328</v>
          </cell>
          <cell r="F636">
            <v>658400</v>
          </cell>
          <cell r="G636">
            <v>938159</v>
          </cell>
        </row>
        <row r="637">
          <cell r="D637">
            <v>102264</v>
          </cell>
          <cell r="E637">
            <v>449104</v>
          </cell>
          <cell r="F637">
            <v>982110</v>
          </cell>
          <cell r="G637">
            <v>1327550</v>
          </cell>
        </row>
        <row r="839">
          <cell r="E839">
            <v>501358</v>
          </cell>
        </row>
        <row r="841">
          <cell r="D841">
            <v>26149</v>
          </cell>
          <cell r="E841">
            <v>158233</v>
          </cell>
          <cell r="F841">
            <v>420990</v>
          </cell>
          <cell r="G841">
            <v>685110</v>
          </cell>
        </row>
        <row r="842">
          <cell r="D842">
            <v>15445</v>
          </cell>
          <cell r="E842">
            <v>80471</v>
          </cell>
          <cell r="F842">
            <v>275160</v>
          </cell>
          <cell r="G842">
            <v>396576</v>
          </cell>
        </row>
        <row r="843">
          <cell r="D843">
            <v>8948</v>
          </cell>
          <cell r="E843">
            <v>49518</v>
          </cell>
          <cell r="F843">
            <v>132190</v>
          </cell>
          <cell r="G843">
            <v>174812</v>
          </cell>
        </row>
        <row r="844">
          <cell r="D844">
            <v>26952</v>
          </cell>
          <cell r="E844">
            <v>183478</v>
          </cell>
          <cell r="F844">
            <v>516723</v>
          </cell>
        </row>
        <row r="845">
          <cell r="D845">
            <v>4466</v>
          </cell>
          <cell r="E845">
            <v>29658</v>
          </cell>
          <cell r="F845">
            <v>71455</v>
          </cell>
          <cell r="G845">
            <v>104009</v>
          </cell>
        </row>
        <row r="857">
          <cell r="D857">
            <v>12288</v>
          </cell>
          <cell r="E857">
            <v>84029</v>
          </cell>
          <cell r="F857">
            <v>233055</v>
          </cell>
          <cell r="G857">
            <v>341256</v>
          </cell>
        </row>
        <row r="858">
          <cell r="D858">
            <v>9906</v>
          </cell>
          <cell r="E858">
            <v>62585</v>
          </cell>
          <cell r="F858">
            <v>179289</v>
          </cell>
          <cell r="G858">
            <v>254552</v>
          </cell>
        </row>
        <row r="859">
          <cell r="E859">
            <v>206591</v>
          </cell>
        </row>
        <row r="860">
          <cell r="E860">
            <v>148153</v>
          </cell>
        </row>
        <row r="1033">
          <cell r="D1033">
            <v>389085</v>
          </cell>
          <cell r="E1033">
            <v>1004480</v>
          </cell>
          <cell r="F1033">
            <v>1910400</v>
          </cell>
          <cell r="G1033">
            <v>2714950</v>
          </cell>
        </row>
        <row r="1259">
          <cell r="D1259">
            <v>99531</v>
          </cell>
          <cell r="E1259">
            <v>425529</v>
          </cell>
          <cell r="F1259">
            <v>907479</v>
          </cell>
          <cell r="G1259">
            <v>1209820</v>
          </cell>
        </row>
        <row r="2024">
          <cell r="C2024">
            <v>341580</v>
          </cell>
          <cell r="D2024">
            <v>1439710</v>
          </cell>
          <cell r="E2024">
            <v>3345830</v>
          </cell>
          <cell r="F2024">
            <v>4477160</v>
          </cell>
        </row>
        <row r="2044">
          <cell r="C2044">
            <v>652193</v>
          </cell>
          <cell r="D2044">
            <v>2446610</v>
          </cell>
          <cell r="E2044">
            <v>5701250</v>
          </cell>
          <cell r="F2044">
            <v>8210980</v>
          </cell>
        </row>
        <row r="2631">
          <cell r="C2631">
            <v>23411</v>
          </cell>
          <cell r="D2631">
            <v>148646</v>
          </cell>
          <cell r="E2631">
            <v>407376</v>
          </cell>
          <cell r="F2631">
            <v>549694</v>
          </cell>
        </row>
        <row r="2651">
          <cell r="C2651">
            <v>45401</v>
          </cell>
          <cell r="D2651">
            <v>256860</v>
          </cell>
          <cell r="E2651">
            <v>698760</v>
          </cell>
          <cell r="F2651">
            <v>1026550</v>
          </cell>
        </row>
      </sheetData>
      <sheetData sheetId="2">
        <row r="13">
          <cell r="D13">
            <v>2268380</v>
          </cell>
        </row>
        <row r="14">
          <cell r="D14">
            <v>1975510</v>
          </cell>
        </row>
        <row r="15">
          <cell r="D15">
            <v>777673</v>
          </cell>
        </row>
        <row r="16">
          <cell r="D16">
            <v>292872</v>
          </cell>
        </row>
        <row r="17">
          <cell r="D17">
            <v>1558540000</v>
          </cell>
        </row>
        <row r="18">
          <cell r="D18">
            <v>1238630000</v>
          </cell>
        </row>
        <row r="19">
          <cell r="D19">
            <v>763894000</v>
          </cell>
        </row>
        <row r="20">
          <cell r="D20">
            <v>319910000</v>
          </cell>
        </row>
        <row r="21">
          <cell r="D21">
            <v>10766</v>
          </cell>
        </row>
        <row r="22">
          <cell r="D22">
            <v>4218</v>
          </cell>
        </row>
        <row r="23">
          <cell r="D23">
            <v>869</v>
          </cell>
        </row>
        <row r="24">
          <cell r="D24">
            <v>6548</v>
          </cell>
        </row>
        <row r="25">
          <cell r="D25">
            <v>-2524540</v>
          </cell>
        </row>
        <row r="26">
          <cell r="D26">
            <v>-1365340</v>
          </cell>
        </row>
        <row r="27">
          <cell r="D27">
            <v>-703690</v>
          </cell>
        </row>
        <row r="28">
          <cell r="D28">
            <v>-1159200</v>
          </cell>
        </row>
      </sheetData>
      <sheetData sheetId="3">
        <row r="8">
          <cell r="B8">
            <v>2021907</v>
          </cell>
          <cell r="C8">
            <v>1315561319</v>
          </cell>
        </row>
        <row r="18">
          <cell r="C18">
            <v>513023973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ow r="8">
          <cell r="B8">
            <v>781664</v>
          </cell>
        </row>
        <row r="9">
          <cell r="B9">
            <v>1300222</v>
          </cell>
        </row>
        <row r="10">
          <cell r="B10">
            <v>5364684</v>
          </cell>
        </row>
      </sheetData>
      <sheetData sheetId="1">
        <row r="11">
          <cell r="B11">
            <v>10245792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40625" defaultRowHeight="12.75" x14ac:dyDescent="0.2"/>
  <cols>
    <col min="1" max="1" width="41.28515625" style="1" customWidth="1"/>
    <col min="2" max="2" width="15.710937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78</v>
      </c>
      <c r="B1" s="25"/>
    </row>
    <row r="2" spans="1:9" x14ac:dyDescent="0.2">
      <c r="A2" s="6" t="s">
        <v>139</v>
      </c>
      <c r="B2" s="25"/>
    </row>
    <row r="3" spans="1:9" x14ac:dyDescent="0.2">
      <c r="A3" s="30" t="s">
        <v>136</v>
      </c>
      <c r="B3" s="25"/>
    </row>
    <row r="4" spans="1:9" x14ac:dyDescent="0.2">
      <c r="A4" s="1" t="s">
        <v>112</v>
      </c>
      <c r="E4" s="72"/>
      <c r="F4" s="72"/>
      <c r="G4" s="72"/>
    </row>
    <row r="5" spans="1:9" ht="25.5" customHeight="1" thickBot="1" x14ac:dyDescent="0.25">
      <c r="E5" s="73" t="s">
        <v>138</v>
      </c>
      <c r="F5" s="73"/>
      <c r="G5" s="73"/>
      <c r="H5" s="73"/>
      <c r="I5" s="73"/>
    </row>
    <row r="6" spans="1:9" ht="39" thickBot="1" x14ac:dyDescent="0.25">
      <c r="A6" s="3"/>
      <c r="B6" s="18" t="s">
        <v>72</v>
      </c>
      <c r="C6" s="23" t="s">
        <v>71</v>
      </c>
      <c r="D6" s="23" t="s">
        <v>75</v>
      </c>
      <c r="E6" s="24" t="s">
        <v>70</v>
      </c>
      <c r="F6" s="23" t="s">
        <v>76</v>
      </c>
      <c r="G6" s="23" t="s">
        <v>73</v>
      </c>
      <c r="H6" s="23" t="s">
        <v>74</v>
      </c>
      <c r="I6" s="23" t="s">
        <v>77</v>
      </c>
    </row>
    <row r="7" spans="1:9" ht="15" x14ac:dyDescent="0.2">
      <c r="A7" s="1" t="s">
        <v>65</v>
      </c>
      <c r="B7" s="31">
        <f>'[1]ATTIS Summary Tables'!$J$615/1000</f>
        <v>18879.900000000001</v>
      </c>
      <c r="C7" s="31">
        <f>'[2]SPM poverty tables'!$E$615/1000</f>
        <v>2556.8000000000002</v>
      </c>
      <c r="D7" s="26">
        <f>C7/$B7</f>
        <v>0.13542444610405777</v>
      </c>
      <c r="E7" s="31">
        <f>'[3]SPM tables'!$E$615/1000</f>
        <v>2446.61</v>
      </c>
      <c r="F7" s="32">
        <f>E7/$B7</f>
        <v>0.12958808044534134</v>
      </c>
      <c r="G7" s="28">
        <f>E7-C7</f>
        <v>-110.19000000000005</v>
      </c>
      <c r="H7" s="33">
        <f>ROUND((F7-D7)*100,2)</f>
        <v>-0.57999999999999996</v>
      </c>
      <c r="I7" s="26">
        <f>(E7-C7)/C7</f>
        <v>-4.3096839799749709E-2</v>
      </c>
    </row>
    <row r="8" spans="1:9" x14ac:dyDescent="0.2">
      <c r="A8" s="12" t="s">
        <v>19</v>
      </c>
      <c r="B8" s="34"/>
      <c r="C8" s="34"/>
      <c r="E8" s="34"/>
      <c r="H8" s="35"/>
      <c r="I8" s="26"/>
    </row>
    <row r="9" spans="1:9" x14ac:dyDescent="0.2">
      <c r="A9" s="5" t="s">
        <v>55</v>
      </c>
      <c r="B9" s="36">
        <f>'[1]ATTIS Summary Tables'!$J$839/1000</f>
        <v>3993.93</v>
      </c>
      <c r="C9" s="36">
        <f>'[2]SPM poverty tables'!$E$839/1000</f>
        <v>556.33500000000004</v>
      </c>
      <c r="D9" s="26">
        <f t="shared" ref="D9:D12" si="0">C9/$B9</f>
        <v>0.13929513036032179</v>
      </c>
      <c r="E9" s="36">
        <f>'[3]SPM tables'!$E$839/1000</f>
        <v>501.358</v>
      </c>
      <c r="F9" s="32">
        <f t="shared" ref="F9:F12" si="1">E9/$B9</f>
        <v>0.1255299917624996</v>
      </c>
      <c r="G9" s="28">
        <f>E9-C9</f>
        <v>-54.977000000000032</v>
      </c>
      <c r="H9" s="33">
        <f t="shared" ref="H9:H12" si="2">ROUND((F9-D9)*100,2)</f>
        <v>-1.38</v>
      </c>
      <c r="I9" s="26">
        <f t="shared" ref="I9:I12" si="3">(E9-C9)/C9</f>
        <v>-9.8819955602290038E-2</v>
      </c>
    </row>
    <row r="10" spans="1:9" x14ac:dyDescent="0.2">
      <c r="A10" s="13" t="s">
        <v>56</v>
      </c>
      <c r="B10" s="36">
        <f>SUM('[1]ATTIS Summary Tables'!$J$857:$J$858)/1000</f>
        <v>1108.269</v>
      </c>
      <c r="C10" s="36">
        <f>SUM('[2]SPM poverty tables'!$E$857:$E$858)/1000</f>
        <v>168.679</v>
      </c>
      <c r="D10" s="26">
        <f t="shared" si="0"/>
        <v>0.15220041343753185</v>
      </c>
      <c r="E10" s="36">
        <f>SUM('[3]SPM tables'!$E$857:$E$858)/1000</f>
        <v>146.614</v>
      </c>
      <c r="F10" s="32">
        <f t="shared" si="1"/>
        <v>0.13229098711594386</v>
      </c>
      <c r="G10" s="28">
        <f t="shared" ref="G10:G21" si="4">E10-C10</f>
        <v>-22.064999999999998</v>
      </c>
      <c r="H10" s="33">
        <f t="shared" si="2"/>
        <v>-1.99</v>
      </c>
      <c r="I10" s="26">
        <f t="shared" si="3"/>
        <v>-0.13081059290130959</v>
      </c>
    </row>
    <row r="11" spans="1:9" x14ac:dyDescent="0.2">
      <c r="A11" s="13" t="s">
        <v>57</v>
      </c>
      <c r="B11" s="36">
        <f>SUM('[1]ATTIS Summary Tables'!$J$859:$J$860)/1000</f>
        <v>2885.67</v>
      </c>
      <c r="C11" s="36">
        <f>SUM('[2]SPM poverty tables'!$E$859:$E$860)/1000</f>
        <v>387.65600000000001</v>
      </c>
      <c r="D11" s="26">
        <f t="shared" si="0"/>
        <v>0.13433829925112711</v>
      </c>
      <c r="E11" s="36">
        <f>SUM('[3]SPM tables'!$E$859:$E$860)/1000</f>
        <v>354.74400000000003</v>
      </c>
      <c r="F11" s="32">
        <f t="shared" si="1"/>
        <v>0.1229329757040826</v>
      </c>
      <c r="G11" s="28">
        <f t="shared" si="4"/>
        <v>-32.911999999999978</v>
      </c>
      <c r="H11" s="33">
        <f t="shared" si="2"/>
        <v>-1.1399999999999999</v>
      </c>
      <c r="I11" s="26">
        <f t="shared" si="3"/>
        <v>-8.4900014445797242E-2</v>
      </c>
    </row>
    <row r="12" spans="1:9" x14ac:dyDescent="0.2">
      <c r="A12" s="5" t="s">
        <v>58</v>
      </c>
      <c r="B12" s="36">
        <f>SUM('[1]ATTIS Summary Tables'!$J$634:$J$637)/1000</f>
        <v>14885.93</v>
      </c>
      <c r="C12" s="36">
        <f>SUM('[2]SPM poverty tables'!$E$634:$E$637)/1000</f>
        <v>2000.4680000000001</v>
      </c>
      <c r="D12" s="26">
        <f t="shared" si="0"/>
        <v>0.13438649785401383</v>
      </c>
      <c r="E12" s="36">
        <f>SUM('[3]SPM tables'!$E$634:$E$637)/1000</f>
        <v>1945.25</v>
      </c>
      <c r="F12" s="32">
        <f t="shared" si="1"/>
        <v>0.13067708903642566</v>
      </c>
      <c r="G12" s="28">
        <f t="shared" si="4"/>
        <v>-55.218000000000075</v>
      </c>
      <c r="H12" s="33">
        <f t="shared" si="2"/>
        <v>-0.37</v>
      </c>
      <c r="I12" s="26">
        <f t="shared" si="3"/>
        <v>-2.7602541005404772E-2</v>
      </c>
    </row>
    <row r="13" spans="1:9" ht="15" x14ac:dyDescent="0.2">
      <c r="A13" s="12" t="s">
        <v>59</v>
      </c>
      <c r="B13" s="34"/>
      <c r="C13" s="34"/>
      <c r="E13" s="34"/>
      <c r="F13" s="32"/>
      <c r="H13" s="35"/>
      <c r="I13" s="26"/>
    </row>
    <row r="14" spans="1:9" x14ac:dyDescent="0.2">
      <c r="A14" s="5" t="s">
        <v>23</v>
      </c>
      <c r="B14" s="36">
        <f>'[1]ATTIS Summary Tables'!$J$619/1000</f>
        <v>1627.8</v>
      </c>
      <c r="C14" s="36">
        <f>'[2]SPM poverty tables'!$E$619/1000</f>
        <v>344.77100000000002</v>
      </c>
      <c r="D14" s="26">
        <f t="shared" ref="D14:D18" si="5">C14/$B14</f>
        <v>0.21180181840520951</v>
      </c>
      <c r="E14" s="36">
        <f>'[3]SPM tables'!$E$619/1000</f>
        <v>328.99599999999998</v>
      </c>
      <c r="F14" s="32">
        <f t="shared" ref="F14:F18" si="6">E14/$B14</f>
        <v>0.2021108244256051</v>
      </c>
      <c r="G14" s="28">
        <f t="shared" si="4"/>
        <v>-15.775000000000034</v>
      </c>
      <c r="H14" s="33">
        <f t="shared" ref="H14:H18" si="7">ROUND((F14-D14)*100,2)</f>
        <v>-0.97</v>
      </c>
      <c r="I14" s="26">
        <f t="shared" ref="I14:I18" si="8">(E14-C14)/C14</f>
        <v>-4.5755008396878023E-2</v>
      </c>
    </row>
    <row r="15" spans="1:9" x14ac:dyDescent="0.2">
      <c r="A15" s="5" t="s">
        <v>22</v>
      </c>
      <c r="B15" s="36">
        <f>'[1]ATTIS Summary Tables'!$J$618/1000</f>
        <v>2625.71</v>
      </c>
      <c r="C15" s="36">
        <f>'[2]SPM poverty tables'!$E$618/1000</f>
        <v>447.202</v>
      </c>
      <c r="D15" s="26">
        <f t="shared" si="5"/>
        <v>0.17031660008150176</v>
      </c>
      <c r="E15" s="36">
        <f>'[3]SPM tables'!$E$618/1000</f>
        <v>427.017</v>
      </c>
      <c r="F15" s="32">
        <f t="shared" si="6"/>
        <v>0.16262915554269131</v>
      </c>
      <c r="G15" s="28">
        <f t="shared" si="4"/>
        <v>-20.185000000000002</v>
      </c>
      <c r="H15" s="33">
        <f t="shared" si="7"/>
        <v>-0.77</v>
      </c>
      <c r="I15" s="26">
        <f t="shared" si="8"/>
        <v>-4.5136202432010594E-2</v>
      </c>
    </row>
    <row r="16" spans="1:9" x14ac:dyDescent="0.2">
      <c r="A16" s="5" t="s">
        <v>24</v>
      </c>
      <c r="B16" s="36">
        <f>'[1]ATTIS Summary Tables'!$J$620/1000</f>
        <v>3645.79</v>
      </c>
      <c r="C16" s="36">
        <f>'[2]SPM poverty tables'!$E$620/1000</f>
        <v>720.529</v>
      </c>
      <c r="D16" s="26">
        <f t="shared" si="5"/>
        <v>0.1976331604398498</v>
      </c>
      <c r="E16" s="36">
        <f>'[3]SPM tables'!$E$620/1000</f>
        <v>682.58600000000001</v>
      </c>
      <c r="F16" s="32">
        <f t="shared" si="6"/>
        <v>0.18722581388395931</v>
      </c>
      <c r="G16" s="28">
        <f t="shared" si="4"/>
        <v>-37.942999999999984</v>
      </c>
      <c r="H16" s="33">
        <f t="shared" si="7"/>
        <v>-1.04</v>
      </c>
      <c r="I16" s="26">
        <f t="shared" si="8"/>
        <v>-5.265992069715443E-2</v>
      </c>
    </row>
    <row r="17" spans="1:9" x14ac:dyDescent="0.2">
      <c r="A17" s="5" t="s">
        <v>25</v>
      </c>
      <c r="B17" s="36">
        <f>'[1]ATTIS Summary Tables'!$J$617/1000</f>
        <v>10430.799999999999</v>
      </c>
      <c r="C17" s="36">
        <f>'[2]SPM poverty tables'!$E$617/1000</f>
        <v>951.55799999999999</v>
      </c>
      <c r="D17" s="26">
        <f t="shared" si="5"/>
        <v>9.1225792844268905E-2</v>
      </c>
      <c r="E17" s="36">
        <f>'[3]SPM tables'!$E$617/1000</f>
        <v>917.68899999999996</v>
      </c>
      <c r="F17" s="32">
        <f t="shared" si="6"/>
        <v>8.7978774398895579E-2</v>
      </c>
      <c r="G17" s="28">
        <f t="shared" si="4"/>
        <v>-33.869000000000028</v>
      </c>
      <c r="H17" s="33">
        <f t="shared" si="7"/>
        <v>-0.32</v>
      </c>
      <c r="I17" s="26">
        <f t="shared" si="8"/>
        <v>-3.5593206089381865E-2</v>
      </c>
    </row>
    <row r="18" spans="1:9" x14ac:dyDescent="0.2">
      <c r="A18" s="5" t="s">
        <v>60</v>
      </c>
      <c r="B18" s="36">
        <f>'[1]ATTIS Summary Tables'!$J$621/1000</f>
        <v>549.71500000000003</v>
      </c>
      <c r="C18" s="36">
        <f>'[2]SPM poverty tables'!$E$621/1000</f>
        <v>92.742999999999995</v>
      </c>
      <c r="D18" s="26">
        <f t="shared" si="5"/>
        <v>0.16871105936712658</v>
      </c>
      <c r="E18" s="36">
        <f>'[3]SPM tables'!$E$621/1000</f>
        <v>90.32</v>
      </c>
      <c r="F18" s="32">
        <f t="shared" si="6"/>
        <v>0.1643033208116933</v>
      </c>
      <c r="G18" s="28">
        <f t="shared" si="4"/>
        <v>-2.4230000000000018</v>
      </c>
      <c r="H18" s="33">
        <f t="shared" si="7"/>
        <v>-0.44</v>
      </c>
      <c r="I18" s="26">
        <f t="shared" si="8"/>
        <v>-2.6125960988969538E-2</v>
      </c>
    </row>
    <row r="19" spans="1:9" x14ac:dyDescent="0.2">
      <c r="A19" s="12" t="s">
        <v>27</v>
      </c>
      <c r="B19" s="34"/>
      <c r="C19" s="34"/>
      <c r="E19" s="34"/>
      <c r="F19" s="32"/>
      <c r="H19" s="35"/>
      <c r="I19" s="26"/>
    </row>
    <row r="20" spans="1:9" x14ac:dyDescent="0.2">
      <c r="A20" s="5" t="s">
        <v>29</v>
      </c>
      <c r="B20" s="36">
        <f>'[1]ATTIS Summary Tables'!$H$2024/1000</f>
        <v>8135.46</v>
      </c>
      <c r="C20" s="36">
        <f>'[2]SPM poverty tables'!$D$2024/1000</f>
        <v>1517.62</v>
      </c>
      <c r="D20" s="37">
        <f t="shared" ref="D20:D21" si="9">C20/$B20</f>
        <v>0.18654384632215018</v>
      </c>
      <c r="E20" s="36">
        <f>'[3]SPM tables'!$D$2024/1000</f>
        <v>1439.71</v>
      </c>
      <c r="F20" s="32">
        <f t="shared" ref="F20:F21" si="10">E20/$B20</f>
        <v>0.17696725200541827</v>
      </c>
      <c r="G20" s="28">
        <f t="shared" si="4"/>
        <v>-77.909999999999854</v>
      </c>
      <c r="H20" s="38">
        <f t="shared" ref="H20:H21" si="11">ROUND((F20-D20)*100,2)</f>
        <v>-0.96</v>
      </c>
      <c r="I20" s="32">
        <f t="shared" ref="I20:I21" si="12">(E20-C20)/C20</f>
        <v>-5.133696182179983E-2</v>
      </c>
    </row>
    <row r="21" spans="1:9" ht="13.5" thickBot="1" x14ac:dyDescent="0.2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1006.9</v>
      </c>
      <c r="F21" s="41">
        <f t="shared" si="10"/>
        <v>9.3713585817408809E-2</v>
      </c>
      <c r="G21" s="42">
        <f t="shared" si="4"/>
        <v>-32.280000000000086</v>
      </c>
      <c r="H21" s="43">
        <f t="shared" si="11"/>
        <v>-0.3</v>
      </c>
      <c r="I21" s="41">
        <f t="shared" si="12"/>
        <v>-3.1062953482553633E-2</v>
      </c>
    </row>
    <row r="22" spans="1:9" ht="15" customHeight="1" x14ac:dyDescent="0.2">
      <c r="A22" s="74" t="s">
        <v>86</v>
      </c>
      <c r="B22" s="74"/>
      <c r="C22" s="74"/>
      <c r="D22" s="74"/>
      <c r="E22" s="74"/>
      <c r="F22" s="74"/>
      <c r="G22" s="74"/>
      <c r="H22" s="74"/>
      <c r="I22" s="74"/>
    </row>
    <row r="23" spans="1:9" ht="41.25" customHeight="1" x14ac:dyDescent="0.2">
      <c r="A23" s="75" t="s">
        <v>62</v>
      </c>
      <c r="B23" s="75"/>
      <c r="C23" s="75"/>
      <c r="D23" s="75"/>
      <c r="E23" s="75"/>
      <c r="F23" s="75"/>
      <c r="G23" s="75"/>
      <c r="H23" s="75"/>
      <c r="I23" s="75"/>
    </row>
    <row r="24" spans="1:9" x14ac:dyDescent="0.2">
      <c r="E24" s="28"/>
    </row>
    <row r="25" spans="1:9" x14ac:dyDescent="0.2">
      <c r="B25" s="28"/>
      <c r="C25" s="28"/>
      <c r="E25" s="28"/>
    </row>
    <row r="27" spans="1:9" x14ac:dyDescent="0.2">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election activeCell="E5" sqref="E5:I5"/>
    </sheetView>
  </sheetViews>
  <sheetFormatPr defaultColWidth="9.140625" defaultRowHeight="12.75" x14ac:dyDescent="0.2"/>
  <cols>
    <col min="1" max="1" width="49.8554687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30</v>
      </c>
      <c r="B1" s="25" t="s">
        <v>63</v>
      </c>
    </row>
    <row r="2" spans="1:9" x14ac:dyDescent="0.2">
      <c r="A2" s="6" t="s">
        <v>140</v>
      </c>
      <c r="B2" s="25"/>
    </row>
    <row r="3" spans="1:9" x14ac:dyDescent="0.2">
      <c r="A3" s="70" t="s">
        <v>136</v>
      </c>
      <c r="B3" s="25"/>
    </row>
    <row r="4" spans="1:9" x14ac:dyDescent="0.2">
      <c r="A4" s="1" t="s">
        <v>112</v>
      </c>
      <c r="E4" s="72"/>
      <c r="F4" s="72"/>
      <c r="G4" s="72"/>
    </row>
    <row r="5" spans="1:9" ht="31.5" customHeight="1" thickBot="1" x14ac:dyDescent="0.25">
      <c r="E5" s="73" t="s">
        <v>138</v>
      </c>
      <c r="F5" s="73"/>
      <c r="G5" s="73"/>
      <c r="H5" s="73"/>
      <c r="I5" s="73"/>
    </row>
    <row r="6" spans="1:9" ht="51.75"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32"/>
      <c r="G7" s="28"/>
      <c r="H7" s="45"/>
      <c r="I7" s="26"/>
    </row>
    <row r="8" spans="1:9" ht="15" x14ac:dyDescent="0.2">
      <c r="A8" s="12" t="s">
        <v>93</v>
      </c>
      <c r="B8" s="46"/>
      <c r="C8" s="34"/>
      <c r="D8" s="26"/>
      <c r="E8" s="34"/>
      <c r="G8" s="28"/>
      <c r="H8" s="35"/>
      <c r="I8" s="26"/>
    </row>
    <row r="9" spans="1:9" x14ac:dyDescent="0.2">
      <c r="A9" s="5" t="s">
        <v>1</v>
      </c>
      <c r="B9" s="47"/>
      <c r="C9" s="36">
        <f>'[2]SPM poverty tables'!$D$615/1000</f>
        <v>667.553</v>
      </c>
      <c r="D9" s="26">
        <f>C9/$B$7</f>
        <v>3.5357867361585596E-2</v>
      </c>
      <c r="E9" s="36">
        <f>'[3]SPM tables'!$D$615/1000</f>
        <v>652.19299999999998</v>
      </c>
      <c r="F9" s="26">
        <f>E9/$B$7</f>
        <v>3.4544303730422297E-2</v>
      </c>
      <c r="G9" s="28">
        <f>E9-C9</f>
        <v>-15.360000000000014</v>
      </c>
      <c r="H9" s="33">
        <f>ROUND((F9-D9)*100,2)</f>
        <v>-0.08</v>
      </c>
      <c r="I9" s="26">
        <f>(E9-C9)/C9</f>
        <v>-2.3009408990746823E-2</v>
      </c>
    </row>
    <row r="10" spans="1:9" x14ac:dyDescent="0.2">
      <c r="A10" s="5" t="s">
        <v>2</v>
      </c>
      <c r="B10" s="47"/>
      <c r="C10" s="36">
        <f>'[2]SPM poverty tables'!$E$615/1000</f>
        <v>2556.8000000000002</v>
      </c>
      <c r="D10" s="26">
        <f t="shared" ref="D10:D12" si="0">C10/$B$7</f>
        <v>0.13542444610405777</v>
      </c>
      <c r="E10" s="36">
        <f>'[3]SPM tables'!$E$615/1000</f>
        <v>2446.61</v>
      </c>
      <c r="F10" s="26">
        <f t="shared" ref="F10" si="1">E10/$B$7</f>
        <v>0.12958808044534134</v>
      </c>
      <c r="G10" s="28">
        <f t="shared" ref="G10:G45" si="2">E10-C10</f>
        <v>-110.19000000000005</v>
      </c>
      <c r="H10" s="33">
        <f t="shared" ref="H10:H12" si="3">ROUND((F10-D10)*100,2)</f>
        <v>-0.57999999999999996</v>
      </c>
      <c r="I10" s="26">
        <f t="shared" ref="I10:I12" si="4">(E10-C10)/C10</f>
        <v>-4.3096839799749709E-2</v>
      </c>
    </row>
    <row r="11" spans="1:9" x14ac:dyDescent="0.2">
      <c r="A11" s="5" t="s">
        <v>3</v>
      </c>
      <c r="B11" s="47"/>
      <c r="C11" s="36">
        <f>'[2]SPM poverty tables'!$F$615/1000</f>
        <v>5822.72</v>
      </c>
      <c r="D11" s="26">
        <f t="shared" si="0"/>
        <v>0.30840841318015455</v>
      </c>
      <c r="E11" s="36">
        <f>'[3]SPM tables'!$F$615/1000</f>
        <v>5701.25</v>
      </c>
      <c r="F11" s="26">
        <f t="shared" ref="F11" si="5">E11/$B$7</f>
        <v>0.3019745867298026</v>
      </c>
      <c r="G11" s="28">
        <f t="shared" si="2"/>
        <v>-121.47000000000025</v>
      </c>
      <c r="H11" s="33">
        <f t="shared" si="3"/>
        <v>-0.64</v>
      </c>
      <c r="I11" s="26">
        <f t="shared" si="4"/>
        <v>-2.0861384370191294E-2</v>
      </c>
    </row>
    <row r="12" spans="1:9" x14ac:dyDescent="0.2">
      <c r="A12" s="5" t="s">
        <v>4</v>
      </c>
      <c r="B12" s="47"/>
      <c r="C12" s="36">
        <f>'[2]SPM poverty tables'!$G$615/1000</f>
        <v>8271.4599999999991</v>
      </c>
      <c r="D12" s="26">
        <f t="shared" si="0"/>
        <v>0.43810931201966102</v>
      </c>
      <c r="E12" s="36">
        <f>'[3]SPM tables'!$G$615/1000</f>
        <v>8210.98</v>
      </c>
      <c r="F12" s="26">
        <f t="shared" ref="F12" si="6">E12/$B$7</f>
        <v>0.43490590522195555</v>
      </c>
      <c r="G12" s="28">
        <f t="shared" si="2"/>
        <v>-60.479999999999563</v>
      </c>
      <c r="H12" s="33">
        <f t="shared" si="3"/>
        <v>-0.32</v>
      </c>
      <c r="I12" s="26">
        <f t="shared" si="4"/>
        <v>-7.31188931579184E-3</v>
      </c>
    </row>
    <row r="13" spans="1:9" x14ac:dyDescent="0.2">
      <c r="A13" s="12" t="s">
        <v>21</v>
      </c>
      <c r="B13" s="46"/>
      <c r="C13" s="34"/>
      <c r="D13" s="26"/>
      <c r="E13" s="34"/>
      <c r="F13" s="26"/>
      <c r="G13" s="28"/>
      <c r="H13" s="35"/>
      <c r="I13" s="26"/>
    </row>
    <row r="14" spans="1:9" x14ac:dyDescent="0.2">
      <c r="A14" s="5" t="s">
        <v>5</v>
      </c>
      <c r="B14" s="47">
        <f>'[1]ATTIS Summary Tables'!$J$633/1000</f>
        <v>3993.93</v>
      </c>
      <c r="C14" s="36"/>
      <c r="D14" s="26"/>
      <c r="E14" s="36"/>
      <c r="F14" s="26"/>
      <c r="G14" s="28"/>
      <c r="H14" s="45"/>
      <c r="I14" s="26"/>
    </row>
    <row r="15" spans="1:9" x14ac:dyDescent="0.2">
      <c r="A15" s="13" t="s">
        <v>1</v>
      </c>
      <c r="B15" s="47"/>
      <c r="C15" s="36">
        <f>'[2]SPM poverty tables'!$D$633/1000</f>
        <v>88.122</v>
      </c>
      <c r="D15" s="26">
        <f>C15/$B$14</f>
        <v>2.2063982092825864E-2</v>
      </c>
      <c r="E15" s="36">
        <f>'[3]SPM tables'!$D$633/1000</f>
        <v>81.96</v>
      </c>
      <c r="F15" s="26">
        <f>E15/$B$14</f>
        <v>2.0521140831211364E-2</v>
      </c>
      <c r="G15" s="28">
        <f t="shared" si="2"/>
        <v>-6.1620000000000061</v>
      </c>
      <c r="H15" s="33">
        <f>ROUND((F15-D15)*100,2)</f>
        <v>-0.15</v>
      </c>
      <c r="I15" s="26">
        <f t="shared" ref="I15:I18" si="7">(E15-C15)/C15</f>
        <v>-6.9925784707564581E-2</v>
      </c>
    </row>
    <row r="16" spans="1:9" x14ac:dyDescent="0.2">
      <c r="A16" s="13" t="s">
        <v>2</v>
      </c>
      <c r="B16" s="47"/>
      <c r="C16" s="36">
        <f>'[2]SPM poverty tables'!$E$633/1000</f>
        <v>556.33500000000004</v>
      </c>
      <c r="D16" s="26">
        <f t="shared" ref="D16:F18" si="8">C16/$B$14</f>
        <v>0.13929513036032179</v>
      </c>
      <c r="E16" s="36">
        <f>'[3]SPM tables'!$E$633/1000</f>
        <v>501.358</v>
      </c>
      <c r="F16" s="26">
        <f t="shared" si="8"/>
        <v>0.1255299917624996</v>
      </c>
      <c r="G16" s="28">
        <f t="shared" si="2"/>
        <v>-54.977000000000032</v>
      </c>
      <c r="H16" s="33">
        <f t="shared" ref="H16:H18" si="9">ROUND((F16-D16)*100,2)</f>
        <v>-1.38</v>
      </c>
      <c r="I16" s="26">
        <f t="shared" si="7"/>
        <v>-9.8819955602290038E-2</v>
      </c>
    </row>
    <row r="17" spans="1:9" x14ac:dyDescent="0.2">
      <c r="A17" s="13" t="s">
        <v>3</v>
      </c>
      <c r="B17" s="47"/>
      <c r="C17" s="36">
        <f>'[2]SPM poverty tables'!$F$633/1000</f>
        <v>1472.79</v>
      </c>
      <c r="D17" s="26">
        <f t="shared" si="8"/>
        <v>0.36875708888237901</v>
      </c>
      <c r="E17" s="36">
        <f>'[3]SPM tables'!$F$633/1000</f>
        <v>1416.52</v>
      </c>
      <c r="F17" s="26">
        <f t="shared" si="8"/>
        <v>0.35466820900716839</v>
      </c>
      <c r="G17" s="28">
        <f t="shared" si="2"/>
        <v>-56.269999999999982</v>
      </c>
      <c r="H17" s="33">
        <f t="shared" si="9"/>
        <v>-1.41</v>
      </c>
      <c r="I17" s="26">
        <f t="shared" si="7"/>
        <v>-3.8206397381839896E-2</v>
      </c>
    </row>
    <row r="18" spans="1:9" x14ac:dyDescent="0.2">
      <c r="A18" s="13" t="s">
        <v>4</v>
      </c>
      <c r="B18" s="47"/>
      <c r="C18" s="36">
        <f>'[2]SPM poverty tables'!$G$633/1000</f>
        <v>2095.7800000000002</v>
      </c>
      <c r="D18" s="26">
        <f t="shared" si="8"/>
        <v>0.52474129491503363</v>
      </c>
      <c r="E18" s="36">
        <f>'[3]SPM tables'!$G$633/1000</f>
        <v>2071.8000000000002</v>
      </c>
      <c r="F18" s="26">
        <f t="shared" si="8"/>
        <v>0.51873718367622879</v>
      </c>
      <c r="G18" s="28">
        <f t="shared" si="2"/>
        <v>-23.980000000000018</v>
      </c>
      <c r="H18" s="33">
        <f t="shared" si="9"/>
        <v>-0.6</v>
      </c>
      <c r="I18" s="26">
        <f t="shared" si="7"/>
        <v>-1.1442040672207969E-2</v>
      </c>
    </row>
    <row r="19" spans="1:9" x14ac:dyDescent="0.2">
      <c r="A19" s="5" t="s">
        <v>64</v>
      </c>
      <c r="B19" s="47">
        <f>SUM('[1]ATTIS Summary Tables'!$J$857:$J$858)/1000</f>
        <v>1108.269</v>
      </c>
      <c r="C19" s="36"/>
      <c r="D19" s="26"/>
      <c r="E19" s="36"/>
      <c r="F19" s="26"/>
      <c r="G19" s="28"/>
      <c r="H19" s="45"/>
      <c r="I19" s="26"/>
    </row>
    <row r="20" spans="1:9" x14ac:dyDescent="0.2">
      <c r="A20" s="13" t="s">
        <v>1</v>
      </c>
      <c r="B20" s="47"/>
      <c r="C20" s="36">
        <f>SUM('[2]SPM poverty tables'!$D$857:$D$858)/1000</f>
        <v>25.547999999999998</v>
      </c>
      <c r="D20" s="26">
        <f>C20/$B$19</f>
        <v>2.3052165133194195E-2</v>
      </c>
      <c r="E20" s="36">
        <f>SUM('[3]SPM tables'!$D$857:$D$858)/1000</f>
        <v>22.193999999999999</v>
      </c>
      <c r="F20" s="26">
        <f>E20/$B$19</f>
        <v>2.0025824055351183E-2</v>
      </c>
      <c r="G20" s="28">
        <f t="shared" si="2"/>
        <v>-3.3539999999999992</v>
      </c>
      <c r="H20" s="33">
        <f>ROUND((F20-D20)*100,2)</f>
        <v>-0.3</v>
      </c>
      <c r="I20" s="26">
        <f t="shared" ref="I20:I23" si="10">(E20-C20)/C20</f>
        <v>-0.13128229215594173</v>
      </c>
    </row>
    <row r="21" spans="1:9" x14ac:dyDescent="0.2">
      <c r="A21" s="13" t="s">
        <v>2</v>
      </c>
      <c r="B21" s="47"/>
      <c r="C21" s="36">
        <f>SUM('[2]SPM poverty tables'!$E$857:$E$858)/1000</f>
        <v>168.679</v>
      </c>
      <c r="D21" s="26">
        <f t="shared" ref="D21:F23" si="11">C21/$B$19</f>
        <v>0.15220041343753185</v>
      </c>
      <c r="E21" s="36">
        <f>SUM('[3]SPM tables'!$E$857:$E$858)/1000</f>
        <v>146.614</v>
      </c>
      <c r="F21" s="26">
        <f t="shared" si="11"/>
        <v>0.13229098711594386</v>
      </c>
      <c r="G21" s="28">
        <f t="shared" si="2"/>
        <v>-22.064999999999998</v>
      </c>
      <c r="H21" s="33">
        <f t="shared" ref="H21:H23" si="12">ROUND((F21-D21)*100,2)</f>
        <v>-1.99</v>
      </c>
      <c r="I21" s="26">
        <f t="shared" si="10"/>
        <v>-0.13081059290130959</v>
      </c>
    </row>
    <row r="22" spans="1:9" x14ac:dyDescent="0.2">
      <c r="A22" s="13" t="s">
        <v>3</v>
      </c>
      <c r="B22" s="47"/>
      <c r="C22" s="36">
        <f>SUM('[2]SPM poverty tables'!$F$857:$F$858)/1000</f>
        <v>434.59199999999998</v>
      </c>
      <c r="D22" s="26">
        <f t="shared" si="11"/>
        <v>0.39213584427607373</v>
      </c>
      <c r="E22" s="36">
        <f>SUM('[3]SPM tables'!$F$857:$F$858)/1000</f>
        <v>412.34399999999999</v>
      </c>
      <c r="F22" s="26">
        <f t="shared" si="11"/>
        <v>0.37206129558798451</v>
      </c>
      <c r="G22" s="28">
        <f t="shared" si="2"/>
        <v>-22.24799999999999</v>
      </c>
      <c r="H22" s="33">
        <f t="shared" si="12"/>
        <v>-2.0099999999999998</v>
      </c>
      <c r="I22" s="26">
        <f t="shared" si="10"/>
        <v>-5.1192842942345905E-2</v>
      </c>
    </row>
    <row r="23" spans="1:9" x14ac:dyDescent="0.2">
      <c r="A23" s="13" t="s">
        <v>4</v>
      </c>
      <c r="B23" s="47"/>
      <c r="C23" s="36">
        <f>SUM('[2]SPM poverty tables'!$G$857:$G$858)/1000</f>
        <v>606.17700000000002</v>
      </c>
      <c r="D23" s="26">
        <f t="shared" si="11"/>
        <v>0.54695836480132531</v>
      </c>
      <c r="E23" s="36">
        <f>SUM('[3]SPM tables'!$G$857:$G$858)/1000</f>
        <v>595.80799999999999</v>
      </c>
      <c r="F23" s="26">
        <f t="shared" si="11"/>
        <v>0.53760233300760019</v>
      </c>
      <c r="G23" s="28">
        <f t="shared" si="2"/>
        <v>-10.369000000000028</v>
      </c>
      <c r="H23" s="33">
        <f t="shared" si="12"/>
        <v>-0.94</v>
      </c>
      <c r="I23" s="26">
        <f t="shared" si="10"/>
        <v>-1.710556487626556E-2</v>
      </c>
    </row>
    <row r="24" spans="1:9" x14ac:dyDescent="0.2">
      <c r="A24" s="5" t="s">
        <v>18</v>
      </c>
      <c r="B24" s="47">
        <f>SUM('[1]ATTIS Summary Tables'!$J$634:$J$637)/1000</f>
        <v>14885.93</v>
      </c>
      <c r="C24" s="36"/>
      <c r="D24" s="26"/>
      <c r="E24" s="36"/>
      <c r="F24" s="26"/>
      <c r="G24" s="28"/>
      <c r="H24" s="45"/>
      <c r="I24" s="26"/>
    </row>
    <row r="25" spans="1:9" x14ac:dyDescent="0.2">
      <c r="A25" s="13" t="s">
        <v>1</v>
      </c>
      <c r="B25" s="47"/>
      <c r="C25" s="36">
        <f>SUM('[2]SPM poverty tables'!$D$634:$D$637)/1000</f>
        <v>579.43100000000004</v>
      </c>
      <c r="D25" s="26">
        <f>C25/$B$24</f>
        <v>3.8924743029155724E-2</v>
      </c>
      <c r="E25" s="36">
        <f>SUM('[3]SPM tables'!$D$634:$D$637)/1000</f>
        <v>570.23299999999995</v>
      </c>
      <c r="F25" s="26">
        <f>E25/$B$24</f>
        <v>3.830684411387128E-2</v>
      </c>
      <c r="G25" s="28">
        <f t="shared" si="2"/>
        <v>-9.1980000000000928</v>
      </c>
      <c r="H25" s="33">
        <f>ROUND((F25-D25)*100,2)</f>
        <v>-0.06</v>
      </c>
      <c r="I25" s="26">
        <f t="shared" ref="I25:I27" si="13">(E25-C25)/C25</f>
        <v>-1.5874193821179904E-2</v>
      </c>
    </row>
    <row r="26" spans="1:9" x14ac:dyDescent="0.2">
      <c r="A26" s="13" t="s">
        <v>2</v>
      </c>
      <c r="B26" s="47"/>
      <c r="C26" s="36">
        <f>SUM('[2]SPM poverty tables'!$E$634:$E$637)/1000</f>
        <v>2000.4680000000001</v>
      </c>
      <c r="D26" s="26">
        <f t="shared" ref="D26:F28" si="14">C26/$B$24</f>
        <v>0.13438649785401383</v>
      </c>
      <c r="E26" s="36">
        <f>SUM('[3]SPM tables'!$E$634:$E$637)/1000</f>
        <v>1945.25</v>
      </c>
      <c r="F26" s="26">
        <f t="shared" si="14"/>
        <v>0.13067708903642566</v>
      </c>
      <c r="G26" s="28">
        <f t="shared" si="2"/>
        <v>-55.218000000000075</v>
      </c>
      <c r="H26" s="33">
        <f t="shared" ref="H26:H28" si="15">ROUND((F26-D26)*100,2)</f>
        <v>-0.37</v>
      </c>
      <c r="I26" s="26">
        <f t="shared" si="13"/>
        <v>-2.7602541005404772E-2</v>
      </c>
    </row>
    <row r="27" spans="1:9" x14ac:dyDescent="0.2">
      <c r="A27" s="13" t="s">
        <v>3</v>
      </c>
      <c r="B27" s="47"/>
      <c r="C27" s="36">
        <f>SUM('[2]SPM poverty tables'!$F$634:$F$637)/1000</f>
        <v>4349.9260000000004</v>
      </c>
      <c r="D27" s="26">
        <f t="shared" si="14"/>
        <v>0.29221728168814448</v>
      </c>
      <c r="E27" s="36">
        <f>SUM('[3]SPM tables'!$F$634:$F$637)/1000</f>
        <v>4284.7349999999997</v>
      </c>
      <c r="F27" s="26">
        <f t="shared" si="14"/>
        <v>0.28783791136999837</v>
      </c>
      <c r="G27" s="28">
        <f t="shared" si="2"/>
        <v>-65.191000000000713</v>
      </c>
      <c r="H27" s="33">
        <f t="shared" si="15"/>
        <v>-0.44</v>
      </c>
      <c r="I27" s="26">
        <f t="shared" si="13"/>
        <v>-1.4986691727629552E-2</v>
      </c>
    </row>
    <row r="28" spans="1:9" x14ac:dyDescent="0.2">
      <c r="A28" s="13" t="s">
        <v>4</v>
      </c>
      <c r="B28" s="47"/>
      <c r="C28" s="36">
        <f>SUM('[2]SPM poverty tables'!$G$634:$G$637)/1000</f>
        <v>6175.6729999999998</v>
      </c>
      <c r="D28" s="26">
        <f t="shared" si="14"/>
        <v>0.41486645443045883</v>
      </c>
      <c r="E28" s="36">
        <f>SUM('[3]SPM tables'!$G$634:$G$637)/1000</f>
        <v>6139.1859999999997</v>
      </c>
      <c r="F28" s="26">
        <f t="shared" si="14"/>
        <v>0.41241534791578355</v>
      </c>
      <c r="G28" s="28">
        <f t="shared" si="2"/>
        <v>-36.48700000000008</v>
      </c>
      <c r="H28" s="33">
        <f t="shared" si="15"/>
        <v>-0.25</v>
      </c>
      <c r="I28" s="26">
        <f>(E28-C28)/C28</f>
        <v>-5.9081819908534793E-3</v>
      </c>
    </row>
    <row r="29" spans="1:9" x14ac:dyDescent="0.2">
      <c r="A29" s="12" t="s">
        <v>26</v>
      </c>
      <c r="B29" s="46"/>
      <c r="C29" s="34"/>
      <c r="D29" s="26"/>
      <c r="E29" s="34"/>
      <c r="F29" s="26"/>
      <c r="G29" s="28"/>
      <c r="H29" s="35"/>
      <c r="I29" s="26"/>
    </row>
    <row r="30" spans="1:9" x14ac:dyDescent="0.2">
      <c r="A30" s="5" t="s">
        <v>6</v>
      </c>
      <c r="B30" s="47">
        <f>('[1]ATTIS Summary Tables'!$J$1033+'[1]ATTIS Summary Tables'!$J$1259)/1000</f>
        <v>10206.14</v>
      </c>
      <c r="C30" s="36"/>
      <c r="D30" s="26"/>
      <c r="E30" s="36"/>
      <c r="F30" s="26"/>
      <c r="G30" s="28"/>
      <c r="H30" s="33"/>
      <c r="I30" s="26"/>
    </row>
    <row r="31" spans="1:9" x14ac:dyDescent="0.2">
      <c r="A31" s="13" t="s">
        <v>1</v>
      </c>
      <c r="B31" s="47"/>
      <c r="C31" s="36">
        <f>('[2]SPM poverty tables'!$D$1033+'[2]SPM poverty tables'!$D$1259)/1000</f>
        <v>492.07299999999998</v>
      </c>
      <c r="D31" s="26">
        <f>C31/$B$30</f>
        <v>4.8213428387225726E-2</v>
      </c>
      <c r="E31" s="36">
        <f>('[3]SPM tables'!$D$1033+'[3]SPM tables'!$D$1259)/1000</f>
        <v>488.61599999999999</v>
      </c>
      <c r="F31" s="26">
        <f>E31/$B$30</f>
        <v>4.7874710713354904E-2</v>
      </c>
      <c r="G31" s="28">
        <f t="shared" si="2"/>
        <v>-3.4569999999999936</v>
      </c>
      <c r="H31" s="33">
        <f t="shared" ref="H31:H34" si="16">ROUND((F31-D31)*100,2)</f>
        <v>-0.03</v>
      </c>
      <c r="I31" s="26">
        <f t="shared" ref="I31:I34" si="17">(E31-C31)/C31</f>
        <v>-7.0253803805532793E-3</v>
      </c>
    </row>
    <row r="32" spans="1:9" x14ac:dyDescent="0.2">
      <c r="A32" s="13" t="s">
        <v>2</v>
      </c>
      <c r="B32" s="47"/>
      <c r="C32" s="36">
        <f>('[2]SPM poverty tables'!$E$1033+'[2]SPM poverty tables'!$E$1259)/1000</f>
        <v>1437.4760000000001</v>
      </c>
      <c r="D32" s="26">
        <f t="shared" ref="D32:F34" si="18">C32/$B$30</f>
        <v>0.14084423690053244</v>
      </c>
      <c r="E32" s="36">
        <f>('[3]SPM tables'!$E$1033+'[3]SPM tables'!$E$1259)/1000</f>
        <v>1430.009</v>
      </c>
      <c r="F32" s="26">
        <f t="shared" si="18"/>
        <v>0.1401126184825997</v>
      </c>
      <c r="G32" s="28">
        <f t="shared" si="2"/>
        <v>-7.4670000000000982</v>
      </c>
      <c r="H32" s="33">
        <f t="shared" si="16"/>
        <v>-7.0000000000000007E-2</v>
      </c>
      <c r="I32" s="26">
        <f t="shared" si="17"/>
        <v>-5.1945215085330799E-3</v>
      </c>
    </row>
    <row r="33" spans="1:10" x14ac:dyDescent="0.2">
      <c r="A33" s="13" t="s">
        <v>3</v>
      </c>
      <c r="B33" s="47"/>
      <c r="C33" s="36">
        <f>('[2]SPM poverty tables'!$F$1033+'[2]SPM poverty tables'!$F$1259)/1000</f>
        <v>2834.0740000000001</v>
      </c>
      <c r="D33" s="26">
        <f t="shared" si="18"/>
        <v>0.27768323773728365</v>
      </c>
      <c r="E33" s="36">
        <f>('[3]SPM tables'!$F$1033+'[3]SPM tables'!$F$1259)/1000</f>
        <v>2817.8789999999999</v>
      </c>
      <c r="F33" s="26">
        <f t="shared" si="18"/>
        <v>0.27609644782454484</v>
      </c>
      <c r="G33" s="28">
        <f t="shared" si="2"/>
        <v>-16.195000000000164</v>
      </c>
      <c r="H33" s="33">
        <f t="shared" si="16"/>
        <v>-0.16</v>
      </c>
      <c r="I33" s="26">
        <f t="shared" si="17"/>
        <v>-5.7143885445475892E-3</v>
      </c>
    </row>
    <row r="34" spans="1:10" x14ac:dyDescent="0.2">
      <c r="A34" s="13" t="s">
        <v>4</v>
      </c>
      <c r="B34" s="47"/>
      <c r="C34" s="36">
        <f>('[2]SPM poverty tables'!$G$1033+'[2]SPM poverty tables'!$G$1259)/1000</f>
        <v>3935.57</v>
      </c>
      <c r="D34" s="26">
        <f t="shared" si="18"/>
        <v>0.38560807513908296</v>
      </c>
      <c r="E34" s="36">
        <f>('[3]SPM tables'!$G$1033+'[3]SPM tables'!$G$1259)/1000</f>
        <v>3924.77</v>
      </c>
      <c r="F34" s="26">
        <f t="shared" si="18"/>
        <v>0.38454988859647232</v>
      </c>
      <c r="G34" s="28">
        <f t="shared" si="2"/>
        <v>-10.800000000000182</v>
      </c>
      <c r="H34" s="33">
        <f t="shared" si="16"/>
        <v>-0.11</v>
      </c>
      <c r="I34" s="26">
        <f t="shared" si="17"/>
        <v>-2.7442022375412409E-3</v>
      </c>
    </row>
    <row r="35" spans="1:10" x14ac:dyDescent="0.2">
      <c r="A35" s="12" t="s">
        <v>27</v>
      </c>
      <c r="B35" s="47"/>
      <c r="C35" s="34"/>
      <c r="D35" s="26"/>
      <c r="E35" s="36"/>
      <c r="F35" s="26"/>
      <c r="G35" s="28"/>
      <c r="H35" s="35"/>
      <c r="I35" s="26"/>
    </row>
    <row r="36" spans="1:10" x14ac:dyDescent="0.2">
      <c r="A36" s="5" t="s">
        <v>29</v>
      </c>
      <c r="B36" s="47">
        <f>'[1]ATTIS Summary Tables'!$H$2024/1000</f>
        <v>8135.46</v>
      </c>
      <c r="C36" s="36"/>
      <c r="D36" s="26"/>
      <c r="E36" s="36"/>
      <c r="F36" s="26"/>
      <c r="G36" s="28"/>
      <c r="H36" s="33"/>
      <c r="I36" s="26"/>
    </row>
    <row r="37" spans="1:10" x14ac:dyDescent="0.2">
      <c r="A37" s="13" t="s">
        <v>1</v>
      </c>
      <c r="B37" s="47"/>
      <c r="C37" s="36">
        <f>'[2]SPM poverty tables'!$C$2024/1000</f>
        <v>352.02100000000002</v>
      </c>
      <c r="D37" s="26">
        <f>C37/$B$36</f>
        <v>4.3269956462203739E-2</v>
      </c>
      <c r="E37" s="36">
        <f>'[3]SPM tables'!$C$2024/1000</f>
        <v>341.58</v>
      </c>
      <c r="F37" s="26">
        <f>E37/$B$36</f>
        <v>4.1986562529961427E-2</v>
      </c>
      <c r="G37" s="28">
        <f t="shared" si="2"/>
        <v>-10.441000000000031</v>
      </c>
      <c r="H37" s="33">
        <f t="shared" ref="H37:H40" si="19">ROUND((F37-D37)*100,2)</f>
        <v>-0.13</v>
      </c>
      <c r="I37" s="26">
        <f t="shared" ref="I37:I40" si="20">(E37-C37)/C37</f>
        <v>-2.9660162319861686E-2</v>
      </c>
      <c r="J37" s="19"/>
    </row>
    <row r="38" spans="1:10" x14ac:dyDescent="0.2">
      <c r="A38" s="13" t="s">
        <v>2</v>
      </c>
      <c r="B38" s="47"/>
      <c r="C38" s="36">
        <f>'[2]SPM poverty tables'!$D$2024/1000</f>
        <v>1517.62</v>
      </c>
      <c r="D38" s="26">
        <f t="shared" ref="D38:F40" si="21">C38/$B$36</f>
        <v>0.18654384632215018</v>
      </c>
      <c r="E38" s="36">
        <f>'[3]SPM tables'!$D$2024/1000</f>
        <v>1439.71</v>
      </c>
      <c r="F38" s="26">
        <f t="shared" si="21"/>
        <v>0.17696725200541827</v>
      </c>
      <c r="G38" s="28">
        <f t="shared" si="2"/>
        <v>-77.909999999999854</v>
      </c>
      <c r="H38" s="33">
        <f t="shared" si="19"/>
        <v>-0.96</v>
      </c>
      <c r="I38" s="26">
        <f t="shared" si="20"/>
        <v>-5.133696182179983E-2</v>
      </c>
      <c r="J38" s="19"/>
    </row>
    <row r="39" spans="1:10" x14ac:dyDescent="0.2">
      <c r="A39" s="13" t="s">
        <v>3</v>
      </c>
      <c r="B39" s="47"/>
      <c r="C39" s="36">
        <f>'[2]SPM poverty tables'!$E$2024/1000</f>
        <v>3401.82</v>
      </c>
      <c r="D39" s="26">
        <f t="shared" si="21"/>
        <v>0.41814722216076289</v>
      </c>
      <c r="E39" s="36">
        <f>'[3]SPM tables'!$E$2024/1000</f>
        <v>3345.83</v>
      </c>
      <c r="F39" s="26">
        <f t="shared" si="21"/>
        <v>0.41126500529779508</v>
      </c>
      <c r="G39" s="28">
        <f t="shared" si="2"/>
        <v>-55.990000000000236</v>
      </c>
      <c r="H39" s="33">
        <f t="shared" si="19"/>
        <v>-0.69</v>
      </c>
      <c r="I39" s="26">
        <f t="shared" si="20"/>
        <v>-1.6458836740333185E-2</v>
      </c>
      <c r="J39" s="19"/>
    </row>
    <row r="40" spans="1:10" x14ac:dyDescent="0.2">
      <c r="A40" s="13" t="s">
        <v>4</v>
      </c>
      <c r="B40" s="47"/>
      <c r="C40" s="36">
        <f>'[2]SPM poverty tables'!$F$2024/1000</f>
        <v>4493.12</v>
      </c>
      <c r="D40" s="26">
        <f t="shared" si="21"/>
        <v>0.5522883770555076</v>
      </c>
      <c r="E40" s="36">
        <f>'[3]SPM tables'!$F$2024/1000</f>
        <v>4477.16</v>
      </c>
      <c r="F40" s="26">
        <f t="shared" si="21"/>
        <v>0.5503265949313253</v>
      </c>
      <c r="G40" s="28">
        <f t="shared" si="2"/>
        <v>-15.960000000000036</v>
      </c>
      <c r="H40" s="33">
        <f t="shared" si="19"/>
        <v>-0.2</v>
      </c>
      <c r="I40" s="26">
        <f t="shared" si="20"/>
        <v>-3.5520974289580598E-3</v>
      </c>
      <c r="J40" s="19"/>
    </row>
    <row r="41" spans="1:10" x14ac:dyDescent="0.2">
      <c r="A41" s="5" t="s">
        <v>28</v>
      </c>
      <c r="B41" s="47">
        <f>('[1]ATTIS Summary Tables'!$H$2044-'[1]ATTIS Summary Tables'!$H$2024)/1000</f>
        <v>10744.44</v>
      </c>
      <c r="C41" s="36"/>
      <c r="D41" s="26"/>
      <c r="E41" s="36"/>
      <c r="F41" s="26"/>
      <c r="G41" s="28"/>
      <c r="H41" s="45"/>
      <c r="I41" s="26"/>
    </row>
    <row r="42" spans="1:10" x14ac:dyDescent="0.2">
      <c r="A42" s="13" t="s">
        <v>1</v>
      </c>
      <c r="B42" s="47"/>
      <c r="C42" s="36">
        <f>('[2]SPM poverty tables'!$C$2044-'[2]SPM poverty tables'!$C$2024)/1000</f>
        <v>315.53199999999998</v>
      </c>
      <c r="D42" s="37">
        <f>C42/$B$41</f>
        <v>2.9367002840538916E-2</v>
      </c>
      <c r="E42" s="36">
        <f>('[3]SPM tables'!$C$2044-'[3]SPM tables'!$C$2024)/1000</f>
        <v>310.613</v>
      </c>
      <c r="F42" s="32">
        <f>E42/$B$41</f>
        <v>2.8909184657366971E-2</v>
      </c>
      <c r="G42" s="28">
        <f t="shared" si="2"/>
        <v>-4.9189999999999827</v>
      </c>
      <c r="H42" s="38">
        <f t="shared" ref="H42:H45" si="22">ROUND((F42-D42)*100,2)</f>
        <v>-0.05</v>
      </c>
      <c r="I42" s="26">
        <f t="shared" ref="I42:I45" si="23">(E42-C42)/C42</f>
        <v>-1.5589544008214645E-2</v>
      </c>
    </row>
    <row r="43" spans="1:10" x14ac:dyDescent="0.2">
      <c r="A43" s="13" t="s">
        <v>2</v>
      </c>
      <c r="B43" s="47"/>
      <c r="C43" s="36">
        <f>('[2]SPM poverty tables'!$D$2044-'[2]SPM poverty tables'!$D$2024)/1000</f>
        <v>1039.18</v>
      </c>
      <c r="D43" s="37">
        <f t="shared" ref="D43:F45" si="24">C43/$B$41</f>
        <v>9.6717930390043602E-2</v>
      </c>
      <c r="E43" s="36">
        <f>('[3]SPM tables'!$D$2044-'[3]SPM tables'!$D$2024)/1000</f>
        <v>1006.9</v>
      </c>
      <c r="F43" s="32">
        <f t="shared" si="24"/>
        <v>9.3713585817408809E-2</v>
      </c>
      <c r="G43" s="28">
        <f t="shared" si="2"/>
        <v>-32.280000000000086</v>
      </c>
      <c r="H43" s="38">
        <f>ROUND((F43-D43)*100,2)</f>
        <v>-0.3</v>
      </c>
      <c r="I43" s="26">
        <f t="shared" si="23"/>
        <v>-3.1062953482553633E-2</v>
      </c>
    </row>
    <row r="44" spans="1:10" x14ac:dyDescent="0.2">
      <c r="A44" s="13" t="s">
        <v>3</v>
      </c>
      <c r="B44" s="47"/>
      <c r="C44" s="36">
        <f>('[2]SPM poverty tables'!$E$2044-'[2]SPM poverty tables'!$E$2024)/1000</f>
        <v>2420.9</v>
      </c>
      <c r="D44" s="37">
        <f t="shared" si="24"/>
        <v>0.22531653580828781</v>
      </c>
      <c r="E44" s="36">
        <f>('[3]SPM tables'!$E$2044-'[3]SPM tables'!$E$2024)/1000</f>
        <v>2355.42</v>
      </c>
      <c r="F44" s="32">
        <f t="shared" si="24"/>
        <v>0.21922222098127031</v>
      </c>
      <c r="G44" s="28">
        <f t="shared" si="2"/>
        <v>-65.480000000000018</v>
      </c>
      <c r="H44" s="38">
        <f t="shared" si="22"/>
        <v>-0.61</v>
      </c>
      <c r="I44" s="26">
        <f t="shared" si="23"/>
        <v>-2.7047792143417744E-2</v>
      </c>
    </row>
    <row r="45" spans="1:10" ht="13.5" thickBot="1" x14ac:dyDescent="0.25">
      <c r="A45" s="16" t="s">
        <v>4</v>
      </c>
      <c r="B45" s="48"/>
      <c r="C45" s="36">
        <f>('[2]SPM poverty tables'!$F$2044-'[2]SPM poverty tables'!$F$2024)/1000</f>
        <v>3778.34</v>
      </c>
      <c r="D45" s="40">
        <f t="shared" si="24"/>
        <v>0.35165536779953166</v>
      </c>
      <c r="E45" s="39">
        <f>('[3]SPM tables'!$F$2044-'[3]SPM tables'!$F$2024)/1000</f>
        <v>3733.82</v>
      </c>
      <c r="F45" s="41">
        <f t="shared" si="24"/>
        <v>0.34751182937407626</v>
      </c>
      <c r="G45" s="28">
        <f t="shared" si="2"/>
        <v>-44.519999999999982</v>
      </c>
      <c r="H45" s="43">
        <f t="shared" si="22"/>
        <v>-0.41</v>
      </c>
      <c r="I45" s="26">
        <f t="shared" si="23"/>
        <v>-1.178295230180449E-2</v>
      </c>
    </row>
    <row r="46" spans="1:10" ht="14.25" customHeight="1" x14ac:dyDescent="0.2">
      <c r="A46" s="76" t="s">
        <v>86</v>
      </c>
      <c r="B46" s="76"/>
      <c r="C46" s="76"/>
      <c r="D46" s="76"/>
      <c r="E46" s="76"/>
      <c r="F46" s="76"/>
      <c r="G46" s="76"/>
      <c r="H46" s="76"/>
      <c r="I46" s="76"/>
    </row>
    <row r="47" spans="1:10" ht="28.5" customHeight="1" x14ac:dyDescent="0.2">
      <c r="A47" s="77" t="s">
        <v>92</v>
      </c>
      <c r="B47" s="77"/>
      <c r="C47" s="77"/>
      <c r="D47" s="77"/>
      <c r="E47" s="77"/>
      <c r="F47" s="77"/>
      <c r="G47" s="77"/>
      <c r="H47" s="77"/>
      <c r="I47" s="77"/>
    </row>
    <row r="48" spans="1:10" x14ac:dyDescent="0.2">
      <c r="C48" s="28"/>
    </row>
    <row r="49" spans="3:3" x14ac:dyDescent="0.2">
      <c r="C49" s="28"/>
    </row>
    <row r="50" spans="3:3" x14ac:dyDescent="0.2">
      <c r="C50" s="28"/>
    </row>
    <row r="51" spans="3:3" x14ac:dyDescent="0.2">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election activeCell="E5" sqref="E5:I5"/>
    </sheetView>
  </sheetViews>
  <sheetFormatPr defaultColWidth="9.140625" defaultRowHeight="12.75" x14ac:dyDescent="0.2"/>
  <cols>
    <col min="1" max="1" width="52.570312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79</v>
      </c>
      <c r="B1" s="25"/>
    </row>
    <row r="2" spans="1:9" x14ac:dyDescent="0.2">
      <c r="A2" s="6" t="s">
        <v>141</v>
      </c>
      <c r="B2" s="25"/>
    </row>
    <row r="3" spans="1:9" x14ac:dyDescent="0.2">
      <c r="A3" s="70" t="s">
        <v>136</v>
      </c>
      <c r="B3" s="25"/>
    </row>
    <row r="4" spans="1:9" x14ac:dyDescent="0.2">
      <c r="A4" s="1" t="s">
        <v>112</v>
      </c>
      <c r="E4" s="72"/>
      <c r="F4" s="72"/>
      <c r="G4" s="72"/>
    </row>
    <row r="5" spans="1:9" ht="28.5" customHeight="1" thickBot="1" x14ac:dyDescent="0.25">
      <c r="E5" s="73" t="s">
        <v>138</v>
      </c>
      <c r="F5" s="73"/>
      <c r="G5" s="73"/>
      <c r="H5" s="73"/>
      <c r="I5" s="73"/>
    </row>
    <row r="6" spans="1:9" ht="58.9"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26"/>
      <c r="G7" s="28"/>
      <c r="H7" s="45"/>
      <c r="I7" s="26"/>
    </row>
    <row r="8" spans="1:9" ht="15" x14ac:dyDescent="0.2">
      <c r="A8" s="12" t="s">
        <v>66</v>
      </c>
      <c r="B8" s="46"/>
      <c r="C8" s="34"/>
      <c r="D8" s="26"/>
      <c r="E8" s="34"/>
      <c r="F8" s="26"/>
      <c r="G8" s="28"/>
      <c r="H8" s="35"/>
      <c r="I8" s="26"/>
    </row>
    <row r="9" spans="1:9" x14ac:dyDescent="0.2">
      <c r="A9" s="5" t="s">
        <v>23</v>
      </c>
      <c r="B9" s="47">
        <f>'[1]ATTIS Summary Tables'!$J$619/1000</f>
        <v>1627.8</v>
      </c>
      <c r="C9" s="36"/>
      <c r="D9" s="26"/>
      <c r="E9" s="36"/>
      <c r="F9" s="26"/>
      <c r="G9" s="28"/>
      <c r="H9" s="45"/>
      <c r="I9" s="26"/>
    </row>
    <row r="10" spans="1:9" x14ac:dyDescent="0.2">
      <c r="A10" s="13" t="s">
        <v>1</v>
      </c>
      <c r="B10" s="47"/>
      <c r="C10" s="36">
        <f>'[2]SPM poverty tables'!$D$619/1000</f>
        <v>96.164000000000001</v>
      </c>
      <c r="D10" s="26">
        <f>C10/$B$9</f>
        <v>5.9076053569234552E-2</v>
      </c>
      <c r="E10" s="36">
        <f>'[3]SPM tables'!$D$619/1000</f>
        <v>94.960999999999999</v>
      </c>
      <c r="F10" s="26">
        <f>E10/$B$9</f>
        <v>5.8337019289839045E-2</v>
      </c>
      <c r="G10" s="28">
        <f>E10-C10</f>
        <v>-1.203000000000003</v>
      </c>
      <c r="H10" s="33">
        <f>ROUND((F10-D10)*100,2)</f>
        <v>-7.0000000000000007E-2</v>
      </c>
      <c r="I10" s="26">
        <f>(E10-C10)/C10</f>
        <v>-1.2509878956782194E-2</v>
      </c>
    </row>
    <row r="11" spans="1:9" x14ac:dyDescent="0.2">
      <c r="A11" s="13" t="s">
        <v>2</v>
      </c>
      <c r="B11" s="47"/>
      <c r="C11" s="36">
        <f>'[2]SPM poverty tables'!$E$619/1000</f>
        <v>344.77100000000002</v>
      </c>
      <c r="D11" s="26">
        <f t="shared" ref="D11:D13" si="0">C11/$B$9</f>
        <v>0.21180181840520951</v>
      </c>
      <c r="E11" s="36">
        <f>'[3]SPM tables'!$E$619/1000</f>
        <v>328.99599999999998</v>
      </c>
      <c r="F11" s="26">
        <f t="shared" ref="F11:F13" si="1">E11/$B$9</f>
        <v>0.2021108244256051</v>
      </c>
      <c r="G11" s="28">
        <f t="shared" ref="G11:G60" si="2">E11-C11</f>
        <v>-15.775000000000034</v>
      </c>
      <c r="H11" s="33">
        <f t="shared" ref="H11:H13" si="3">ROUND((F11-D11)*100,2)</f>
        <v>-0.97</v>
      </c>
      <c r="I11" s="26">
        <f t="shared" ref="I11:I13" si="4">(E11-C11)/C11</f>
        <v>-4.5755008396878023E-2</v>
      </c>
    </row>
    <row r="12" spans="1:9" x14ac:dyDescent="0.2">
      <c r="A12" s="13" t="s">
        <v>3</v>
      </c>
      <c r="B12" s="47"/>
      <c r="C12" s="36">
        <f>'[2]SPM poverty tables'!$F$619/1000</f>
        <v>662.86699999999996</v>
      </c>
      <c r="D12" s="26">
        <f t="shared" si="0"/>
        <v>0.40721648851210224</v>
      </c>
      <c r="E12" s="36">
        <f>'[3]SPM tables'!$F$619/1000</f>
        <v>655.96199999999999</v>
      </c>
      <c r="F12" s="26">
        <f t="shared" si="1"/>
        <v>0.40297456690011058</v>
      </c>
      <c r="G12" s="28">
        <f t="shared" si="2"/>
        <v>-6.9049999999999727</v>
      </c>
      <c r="H12" s="33">
        <f t="shared" si="3"/>
        <v>-0.42</v>
      </c>
      <c r="I12" s="26">
        <f t="shared" si="4"/>
        <v>-1.0416870956013759E-2</v>
      </c>
    </row>
    <row r="13" spans="1:9" x14ac:dyDescent="0.2">
      <c r="A13" s="13" t="s">
        <v>4</v>
      </c>
      <c r="B13" s="47"/>
      <c r="C13" s="36">
        <f>'[2]SPM poverty tables'!$G$619/1000</f>
        <v>860.298</v>
      </c>
      <c r="D13" s="26">
        <f t="shared" si="0"/>
        <v>0.52850350165868043</v>
      </c>
      <c r="E13" s="36">
        <f>'[3]SPM tables'!$G$619/1000</f>
        <v>855.86599999999999</v>
      </c>
      <c r="F13" s="26">
        <f t="shared" si="1"/>
        <v>0.52578080845312691</v>
      </c>
      <c r="G13" s="28">
        <f t="shared" ref="G13" si="5">E13-C13</f>
        <v>-4.4320000000000164</v>
      </c>
      <c r="H13" s="33">
        <f t="shared" si="3"/>
        <v>-0.27</v>
      </c>
      <c r="I13" s="26">
        <f t="shared" si="4"/>
        <v>-5.1517032470144259E-3</v>
      </c>
    </row>
    <row r="14" spans="1:9" x14ac:dyDescent="0.2">
      <c r="A14" s="5" t="s">
        <v>22</v>
      </c>
      <c r="B14" s="47">
        <f>'[1]ATTIS Summary Tables'!$J$618/1000</f>
        <v>2625.71</v>
      </c>
      <c r="C14" s="36"/>
      <c r="D14" s="26"/>
      <c r="E14" s="36"/>
      <c r="F14" s="26"/>
      <c r="G14" s="28"/>
      <c r="H14" s="45"/>
      <c r="I14" s="26"/>
    </row>
    <row r="15" spans="1:9" x14ac:dyDescent="0.2">
      <c r="A15" s="13" t="s">
        <v>1</v>
      </c>
      <c r="B15" s="47"/>
      <c r="C15" s="36">
        <f>'[2]SPM poverty tables'!$D$618/1000</f>
        <v>112.482</v>
      </c>
      <c r="D15" s="26">
        <f>C15/$B$14</f>
        <v>4.2838698866211423E-2</v>
      </c>
      <c r="E15" s="36">
        <f>'[3]SPM tables'!$D$618/1000</f>
        <v>108.268</v>
      </c>
      <c r="F15" s="26">
        <f>E15/$B$14</f>
        <v>4.1233799619912331E-2</v>
      </c>
      <c r="G15" s="28">
        <f t="shared" si="2"/>
        <v>-4.2139999999999986</v>
      </c>
      <c r="H15" s="33">
        <f t="shared" ref="H15:H18" si="6">ROUND((F15-D15)*100,2)</f>
        <v>-0.16</v>
      </c>
      <c r="I15" s="26">
        <f t="shared" ref="I15:I18" si="7">(E15-C15)/C15</f>
        <v>-3.7463771981294774E-2</v>
      </c>
    </row>
    <row r="16" spans="1:9" x14ac:dyDescent="0.2">
      <c r="A16" s="13" t="s">
        <v>2</v>
      </c>
      <c r="B16" s="47"/>
      <c r="C16" s="36">
        <f>'[2]SPM poverty tables'!$E$618/1000</f>
        <v>447.202</v>
      </c>
      <c r="D16" s="26">
        <f t="shared" ref="D16:D18" si="8">C16/$B$14</f>
        <v>0.17031660008150176</v>
      </c>
      <c r="E16" s="36">
        <f>'[3]SPM tables'!$E$618/1000</f>
        <v>427.017</v>
      </c>
      <c r="F16" s="26">
        <f t="shared" ref="F16:F18" si="9">E16/$B$14</f>
        <v>0.16262915554269131</v>
      </c>
      <c r="G16" s="28">
        <f t="shared" si="2"/>
        <v>-20.185000000000002</v>
      </c>
      <c r="H16" s="33">
        <f t="shared" si="6"/>
        <v>-0.77</v>
      </c>
      <c r="I16" s="26">
        <f t="shared" si="7"/>
        <v>-4.5136202432010594E-2</v>
      </c>
    </row>
    <row r="17" spans="1:9" x14ac:dyDescent="0.2">
      <c r="A17" s="13" t="s">
        <v>3</v>
      </c>
      <c r="B17" s="47"/>
      <c r="C17" s="36">
        <f>'[2]SPM poverty tables'!$F$618/1000</f>
        <v>1130.75</v>
      </c>
      <c r="D17" s="26">
        <f t="shared" si="8"/>
        <v>0.43064542542778905</v>
      </c>
      <c r="E17" s="36">
        <f>'[3]SPM tables'!$F$618/1000</f>
        <v>1102.7</v>
      </c>
      <c r="F17" s="26">
        <f t="shared" si="9"/>
        <v>0.41996260059183993</v>
      </c>
      <c r="G17" s="28">
        <f t="shared" si="2"/>
        <v>-28.049999999999955</v>
      </c>
      <c r="H17" s="33">
        <f t="shared" si="6"/>
        <v>-1.07</v>
      </c>
      <c r="I17" s="26">
        <f t="shared" si="7"/>
        <v>-2.4806544328985148E-2</v>
      </c>
    </row>
    <row r="18" spans="1:9" x14ac:dyDescent="0.2">
      <c r="A18" s="13" t="s">
        <v>4</v>
      </c>
      <c r="B18" s="47"/>
      <c r="C18" s="36">
        <f>'[2]SPM poverty tables'!$G$618/1000</f>
        <v>1540.47</v>
      </c>
      <c r="D18" s="26">
        <f t="shared" si="8"/>
        <v>0.58668702941299689</v>
      </c>
      <c r="E18" s="36">
        <f>'[3]SPM tables'!$G$618/1000</f>
        <v>1531.19</v>
      </c>
      <c r="F18" s="26">
        <f t="shared" si="9"/>
        <v>0.58315274725693245</v>
      </c>
      <c r="G18" s="28">
        <f t="shared" si="2"/>
        <v>-9.2799999999999727</v>
      </c>
      <c r="H18" s="33">
        <f t="shared" si="6"/>
        <v>-0.35</v>
      </c>
      <c r="I18" s="26">
        <f t="shared" si="7"/>
        <v>-6.0241354911163298E-3</v>
      </c>
    </row>
    <row r="19" spans="1:9" x14ac:dyDescent="0.2">
      <c r="A19" s="5" t="s">
        <v>24</v>
      </c>
      <c r="B19" s="47">
        <f>'[1]ATTIS Summary Tables'!$J$620/1000</f>
        <v>3645.79</v>
      </c>
      <c r="C19" s="36"/>
      <c r="D19" s="26"/>
      <c r="E19" s="36"/>
      <c r="F19" s="26"/>
      <c r="G19" s="28"/>
      <c r="H19" s="45"/>
      <c r="I19" s="26"/>
    </row>
    <row r="20" spans="1:9" x14ac:dyDescent="0.2">
      <c r="A20" s="13" t="s">
        <v>1</v>
      </c>
      <c r="B20" s="47"/>
      <c r="C20" s="36">
        <f>'[2]SPM poverty tables'!$D$620/1000</f>
        <v>148.34899999999999</v>
      </c>
      <c r="D20" s="26">
        <f>C20/$B$19</f>
        <v>4.0690495064169906E-2</v>
      </c>
      <c r="E20" s="36">
        <f>'[3]SPM tables'!$D$620/1000</f>
        <v>144.357</v>
      </c>
      <c r="F20" s="26">
        <f>E20/$B$19</f>
        <v>3.9595533478340772E-2</v>
      </c>
      <c r="G20" s="28">
        <f t="shared" si="2"/>
        <v>-3.9919999999999902</v>
      </c>
      <c r="H20" s="33">
        <f t="shared" ref="H20:H23" si="10">ROUND((F20-D20)*100,2)</f>
        <v>-0.11</v>
      </c>
      <c r="I20" s="26">
        <f t="shared" ref="I20:I23" si="11">(E20-C20)/C20</f>
        <v>-2.6909517421755392E-2</v>
      </c>
    </row>
    <row r="21" spans="1:9" x14ac:dyDescent="0.2">
      <c r="A21" s="13" t="s">
        <v>2</v>
      </c>
      <c r="B21" s="47"/>
      <c r="C21" s="36">
        <f>'[2]SPM poverty tables'!$E$620/1000</f>
        <v>720.529</v>
      </c>
      <c r="D21" s="26">
        <f t="shared" ref="D21:D23" si="12">C21/$B$19</f>
        <v>0.1976331604398498</v>
      </c>
      <c r="E21" s="36">
        <f>'[3]SPM tables'!$E$620/1000</f>
        <v>682.58600000000001</v>
      </c>
      <c r="F21" s="26">
        <f t="shared" ref="F21:F23" si="13">E21/$B$19</f>
        <v>0.18722581388395931</v>
      </c>
      <c r="G21" s="28">
        <f t="shared" si="2"/>
        <v>-37.942999999999984</v>
      </c>
      <c r="H21" s="33">
        <f t="shared" si="10"/>
        <v>-1.04</v>
      </c>
      <c r="I21" s="26">
        <f t="shared" si="11"/>
        <v>-5.265992069715443E-2</v>
      </c>
    </row>
    <row r="22" spans="1:9" x14ac:dyDescent="0.2">
      <c r="A22" s="13" t="s">
        <v>3</v>
      </c>
      <c r="B22" s="47"/>
      <c r="C22" s="36">
        <f>'[2]SPM poverty tables'!$F$620/1000</f>
        <v>1760.61</v>
      </c>
      <c r="D22" s="26">
        <f t="shared" si="12"/>
        <v>0.48291591122911631</v>
      </c>
      <c r="E22" s="36">
        <f>'[3]SPM tables'!$F$620/1000</f>
        <v>1727.58</v>
      </c>
      <c r="F22" s="26">
        <f t="shared" si="13"/>
        <v>0.47385614640448298</v>
      </c>
      <c r="G22" s="28">
        <f t="shared" si="2"/>
        <v>-33.029999999999973</v>
      </c>
      <c r="H22" s="33">
        <f t="shared" si="10"/>
        <v>-0.91</v>
      </c>
      <c r="I22" s="26">
        <f t="shared" si="11"/>
        <v>-1.8760543220815499E-2</v>
      </c>
    </row>
    <row r="23" spans="1:9" x14ac:dyDescent="0.2">
      <c r="A23" s="13" t="s">
        <v>4</v>
      </c>
      <c r="B23" s="47"/>
      <c r="C23" s="36">
        <f>'[2]SPM poverty tables'!$G$620/1000</f>
        <v>2395.02</v>
      </c>
      <c r="D23" s="26">
        <f t="shared" si="12"/>
        <v>0.65692757948208758</v>
      </c>
      <c r="E23" s="36">
        <f>'[3]SPM tables'!$G$620/1000</f>
        <v>2382.1799999999998</v>
      </c>
      <c r="F23" s="26">
        <f t="shared" si="13"/>
        <v>0.65340570905071327</v>
      </c>
      <c r="G23" s="28">
        <f t="shared" si="2"/>
        <v>-12.840000000000146</v>
      </c>
      <c r="H23" s="33">
        <f t="shared" si="10"/>
        <v>-0.35</v>
      </c>
      <c r="I23" s="26">
        <f t="shared" si="11"/>
        <v>-5.3611243329910168E-3</v>
      </c>
    </row>
    <row r="24" spans="1:9" x14ac:dyDescent="0.2">
      <c r="A24" s="5" t="s">
        <v>25</v>
      </c>
      <c r="B24" s="47">
        <f>'[1]ATTIS Summary Tables'!$J$617/1000</f>
        <v>10430.799999999999</v>
      </c>
      <c r="C24" s="36"/>
      <c r="D24" s="26"/>
      <c r="E24" s="36"/>
      <c r="F24" s="26"/>
      <c r="G24" s="28"/>
      <c r="H24" s="45"/>
      <c r="I24" s="26"/>
    </row>
    <row r="25" spans="1:9" x14ac:dyDescent="0.2">
      <c r="A25" s="13" t="s">
        <v>1</v>
      </c>
      <c r="B25" s="47"/>
      <c r="C25" s="36">
        <f>'[2]SPM poverty tables'!$D$617/1000</f>
        <v>288.40499999999997</v>
      </c>
      <c r="D25" s="26">
        <f>C25/$B$24</f>
        <v>2.7649365341105188E-2</v>
      </c>
      <c r="E25" s="36">
        <f>'[3]SPM tables'!$D$617/1000</f>
        <v>284.08</v>
      </c>
      <c r="F25" s="26">
        <f>E25/$B$24</f>
        <v>2.7234727921156575E-2</v>
      </c>
      <c r="G25" s="28">
        <f t="shared" si="2"/>
        <v>-4.3249999999999886</v>
      </c>
      <c r="H25" s="33">
        <f t="shared" ref="H25:H28" si="14">ROUND((F25-D25)*100,2)</f>
        <v>-0.04</v>
      </c>
      <c r="I25" s="26">
        <f t="shared" ref="I25:I28" si="15">(E25-C25)/C25</f>
        <v>-1.4996272602763436E-2</v>
      </c>
    </row>
    <row r="26" spans="1:9" x14ac:dyDescent="0.2">
      <c r="A26" s="13" t="s">
        <v>2</v>
      </c>
      <c r="B26" s="47"/>
      <c r="C26" s="36">
        <f>'[2]SPM poverty tables'!$E$617/1000</f>
        <v>951.55799999999999</v>
      </c>
      <c r="D26" s="26">
        <f t="shared" ref="D26:D28" si="16">C26/$B$24</f>
        <v>9.1225792844268905E-2</v>
      </c>
      <c r="E26" s="36">
        <f>'[3]SPM tables'!$E$617/1000</f>
        <v>917.68899999999996</v>
      </c>
      <c r="F26" s="26">
        <f t="shared" ref="F26:F28" si="17">E26/$B$24</f>
        <v>8.7978774398895579E-2</v>
      </c>
      <c r="G26" s="28">
        <f t="shared" si="2"/>
        <v>-33.869000000000028</v>
      </c>
      <c r="H26" s="33">
        <f t="shared" si="14"/>
        <v>-0.32</v>
      </c>
      <c r="I26" s="26">
        <f t="shared" si="15"/>
        <v>-3.5593206089381865E-2</v>
      </c>
    </row>
    <row r="27" spans="1:9" x14ac:dyDescent="0.2">
      <c r="A27" s="13" t="s">
        <v>3</v>
      </c>
      <c r="B27" s="47"/>
      <c r="C27" s="36">
        <f>'[2]SPM poverty tables'!$F$617/1000</f>
        <v>2077.29</v>
      </c>
      <c r="D27" s="26">
        <f t="shared" si="16"/>
        <v>0.19914963377689152</v>
      </c>
      <c r="E27" s="36">
        <f>'[3]SPM tables'!$F$617/1000</f>
        <v>2027.54</v>
      </c>
      <c r="F27" s="26">
        <f t="shared" si="17"/>
        <v>0.19438010507343637</v>
      </c>
      <c r="G27" s="28">
        <f t="shared" si="2"/>
        <v>-49.75</v>
      </c>
      <c r="H27" s="33">
        <f t="shared" si="14"/>
        <v>-0.48</v>
      </c>
      <c r="I27" s="26">
        <f t="shared" si="15"/>
        <v>-2.39494726302057E-2</v>
      </c>
    </row>
    <row r="28" spans="1:9" x14ac:dyDescent="0.2">
      <c r="A28" s="13" t="s">
        <v>4</v>
      </c>
      <c r="B28" s="47"/>
      <c r="C28" s="36">
        <f>'[2]SPM poverty tables'!$G$617/1000</f>
        <v>3204.86</v>
      </c>
      <c r="D28" s="26">
        <f t="shared" si="16"/>
        <v>0.30724968362925187</v>
      </c>
      <c r="E28" s="36">
        <f>'[3]SPM tables'!$G$617/1000</f>
        <v>3173</v>
      </c>
      <c r="F28" s="26">
        <f t="shared" si="17"/>
        <v>0.30419526786056683</v>
      </c>
      <c r="G28" s="28">
        <f t="shared" si="2"/>
        <v>-31.860000000000127</v>
      </c>
      <c r="H28" s="33">
        <f t="shared" si="14"/>
        <v>-0.31</v>
      </c>
      <c r="I28" s="26">
        <f t="shared" si="15"/>
        <v>-9.941151875588989E-3</v>
      </c>
    </row>
    <row r="29" spans="1:9" x14ac:dyDescent="0.2">
      <c r="A29" s="5" t="s">
        <v>60</v>
      </c>
      <c r="B29" s="47">
        <f>'[1]ATTIS Summary Tables'!$J$621/1000</f>
        <v>549.71500000000003</v>
      </c>
      <c r="C29" s="36"/>
      <c r="D29" s="26"/>
      <c r="E29" s="36"/>
      <c r="F29" s="26"/>
      <c r="G29" s="28"/>
      <c r="H29" s="45"/>
      <c r="I29" s="26"/>
    </row>
    <row r="30" spans="1:9" x14ac:dyDescent="0.2">
      <c r="A30" s="13" t="s">
        <v>1</v>
      </c>
      <c r="B30" s="47"/>
      <c r="C30" s="36">
        <f>'[2]SPM poverty tables'!$D$621/1000</f>
        <v>22.152999999999999</v>
      </c>
      <c r="D30" s="26">
        <f>C30/$B$29</f>
        <v>4.0299064060467689E-2</v>
      </c>
      <c r="E30" s="36">
        <f>'[3]SPM tables'!$D$621/1000</f>
        <v>20.527000000000001</v>
      </c>
      <c r="F30" s="26">
        <f>E30/$B$29</f>
        <v>3.7341167695987922E-2</v>
      </c>
      <c r="G30" s="28">
        <f t="shared" si="2"/>
        <v>-1.6259999999999977</v>
      </c>
      <c r="H30" s="33">
        <f t="shared" ref="H30:H33" si="18">ROUND((F30-D30)*100,2)</f>
        <v>-0.3</v>
      </c>
      <c r="I30" s="26">
        <f t="shared" ref="I30:I33" si="19">(E30-C30)/C30</f>
        <v>-7.3398636753487012E-2</v>
      </c>
    </row>
    <row r="31" spans="1:9" x14ac:dyDescent="0.2">
      <c r="A31" s="13" t="s">
        <v>2</v>
      </c>
      <c r="B31" s="47"/>
      <c r="C31" s="36">
        <f>'[2]SPM poverty tables'!$E$621/1000</f>
        <v>92.742999999999995</v>
      </c>
      <c r="D31" s="26">
        <f t="shared" ref="D31:D33" si="20">C31/$B$29</f>
        <v>0.16871105936712658</v>
      </c>
      <c r="E31" s="36">
        <f>'[3]SPM tables'!$E$621/1000</f>
        <v>90.32</v>
      </c>
      <c r="F31" s="26">
        <f t="shared" ref="F31:F33" si="21">E31/$B$29</f>
        <v>0.1643033208116933</v>
      </c>
      <c r="G31" s="28">
        <f t="shared" si="2"/>
        <v>-2.4230000000000018</v>
      </c>
      <c r="H31" s="33">
        <f t="shared" si="18"/>
        <v>-0.44</v>
      </c>
      <c r="I31" s="26">
        <f t="shared" si="19"/>
        <v>-2.6125960988969538E-2</v>
      </c>
    </row>
    <row r="32" spans="1:9" x14ac:dyDescent="0.2">
      <c r="A32" s="13" t="s">
        <v>3</v>
      </c>
      <c r="B32" s="47"/>
      <c r="C32" s="36">
        <f>'[2]SPM poverty tables'!$F$621/1000</f>
        <v>191.20500000000001</v>
      </c>
      <c r="D32" s="26">
        <f t="shared" si="20"/>
        <v>0.34782569149468362</v>
      </c>
      <c r="E32" s="36">
        <f>'[3]SPM tables'!$F$621/1000</f>
        <v>187.471</v>
      </c>
      <c r="F32" s="26">
        <f t="shared" si="21"/>
        <v>0.34103308077822142</v>
      </c>
      <c r="G32" s="28">
        <f t="shared" si="2"/>
        <v>-3.7340000000000089</v>
      </c>
      <c r="H32" s="33">
        <f t="shared" si="18"/>
        <v>-0.68</v>
      </c>
      <c r="I32" s="26">
        <f t="shared" si="19"/>
        <v>-1.9528778013127315E-2</v>
      </c>
    </row>
    <row r="33" spans="1:9" x14ac:dyDescent="0.2">
      <c r="A33" s="13" t="s">
        <v>4</v>
      </c>
      <c r="B33" s="47"/>
      <c r="C33" s="36">
        <f>'[2]SPM poverty tables'!$G$621/1000</f>
        <v>270.80799999999999</v>
      </c>
      <c r="D33" s="26">
        <f t="shared" si="20"/>
        <v>0.4926334555178592</v>
      </c>
      <c r="E33" s="36">
        <f>'[3]SPM tables'!$G$621/1000</f>
        <v>268.74900000000002</v>
      </c>
      <c r="F33" s="26">
        <f t="shared" si="21"/>
        <v>0.48888787826419144</v>
      </c>
      <c r="G33" s="28">
        <f t="shared" si="2"/>
        <v>-2.0589999999999691</v>
      </c>
      <c r="H33" s="33">
        <f t="shared" si="18"/>
        <v>-0.37</v>
      </c>
      <c r="I33" s="26">
        <f t="shared" si="19"/>
        <v>-7.6031727275411697E-3</v>
      </c>
    </row>
    <row r="34" spans="1:9" ht="27.75" x14ac:dyDescent="0.2">
      <c r="A34" s="15" t="s">
        <v>95</v>
      </c>
      <c r="B34" s="46"/>
      <c r="C34" s="34"/>
      <c r="D34" s="26"/>
      <c r="E34" s="34"/>
      <c r="F34" s="26"/>
      <c r="G34" s="28"/>
      <c r="H34" s="35"/>
      <c r="I34" s="26"/>
    </row>
    <row r="35" spans="1:9" x14ac:dyDescent="0.2">
      <c r="A35" s="5" t="s">
        <v>67</v>
      </c>
      <c r="B35" s="47">
        <f>'[1]ATTIS Summary Tables'!$J$839/1000</f>
        <v>3993.93</v>
      </c>
      <c r="C35" s="36"/>
      <c r="D35" s="26"/>
      <c r="E35" s="36"/>
      <c r="F35" s="26"/>
      <c r="G35" s="28"/>
      <c r="H35" s="45"/>
      <c r="I35" s="26"/>
    </row>
    <row r="36" spans="1:9" x14ac:dyDescent="0.2">
      <c r="A36" s="5" t="s">
        <v>23</v>
      </c>
      <c r="B36" s="47">
        <f>'[1]ATTIS Summary Tables'!$J$843/1000</f>
        <v>302.55700000000002</v>
      </c>
      <c r="C36" s="36"/>
      <c r="D36" s="26"/>
      <c r="E36" s="36"/>
      <c r="F36" s="26"/>
      <c r="G36" s="28"/>
      <c r="H36" s="45"/>
      <c r="I36" s="26"/>
    </row>
    <row r="37" spans="1:9" x14ac:dyDescent="0.2">
      <c r="A37" s="13" t="s">
        <v>1</v>
      </c>
      <c r="B37" s="47"/>
      <c r="C37" s="36">
        <f>'[2]SPM poverty tables'!$D$843/1000</f>
        <v>9.2430000000000003</v>
      </c>
      <c r="D37" s="26">
        <f>C37/$B$36</f>
        <v>3.0549615444362549E-2</v>
      </c>
      <c r="E37" s="36">
        <f>'[3]SPM tables'!$D$843/1000</f>
        <v>8.9480000000000004</v>
      </c>
      <c r="F37" s="26">
        <f>E37/$B$36</f>
        <v>2.9574592556113392E-2</v>
      </c>
      <c r="G37" s="28">
        <f t="shared" si="2"/>
        <v>-0.29499999999999993</v>
      </c>
      <c r="H37" s="33">
        <f t="shared" ref="H37:H40" si="22">ROUND((F37-D37)*100,2)</f>
        <v>-0.1</v>
      </c>
      <c r="I37" s="26">
        <f t="shared" ref="I37:I40" si="23">(E37-C37)/C37</f>
        <v>-3.1916044574272412E-2</v>
      </c>
    </row>
    <row r="38" spans="1:9" x14ac:dyDescent="0.2">
      <c r="A38" s="13" t="s">
        <v>2</v>
      </c>
      <c r="B38" s="47"/>
      <c r="C38" s="36">
        <f>'[2]SPM poverty tables'!$E$843/1000</f>
        <v>55.503</v>
      </c>
      <c r="D38" s="26">
        <f t="shared" ref="D38:D39" si="24">C38/$B$36</f>
        <v>0.18344642497116245</v>
      </c>
      <c r="E38" s="36">
        <f>'[3]SPM tables'!$E$843/1000</f>
        <v>49.518000000000001</v>
      </c>
      <c r="F38" s="26">
        <f t="shared" ref="F38:F40" si="25">E38/$B$36</f>
        <v>0.16366502840787026</v>
      </c>
      <c r="G38" s="28">
        <f t="shared" si="2"/>
        <v>-5.9849999999999994</v>
      </c>
      <c r="H38" s="33">
        <f t="shared" si="22"/>
        <v>-1.98</v>
      </c>
      <c r="I38" s="26">
        <f t="shared" si="23"/>
        <v>-0.10783200908059022</v>
      </c>
    </row>
    <row r="39" spans="1:9" x14ac:dyDescent="0.2">
      <c r="A39" s="13" t="s">
        <v>3</v>
      </c>
      <c r="B39" s="47"/>
      <c r="C39" s="36">
        <f>'[2]SPM poverty tables'!$F$843/1000</f>
        <v>134.584</v>
      </c>
      <c r="D39" s="26">
        <f t="shared" si="24"/>
        <v>0.44482196743093033</v>
      </c>
      <c r="E39" s="36">
        <f>'[3]SPM tables'!$F$843/1000</f>
        <v>132.19</v>
      </c>
      <c r="F39" s="26">
        <f t="shared" si="25"/>
        <v>0.43690940880561346</v>
      </c>
      <c r="G39" s="28">
        <f t="shared" si="2"/>
        <v>-2.3940000000000055</v>
      </c>
      <c r="H39" s="33">
        <f t="shared" si="22"/>
        <v>-0.79</v>
      </c>
      <c r="I39" s="26">
        <f t="shared" si="23"/>
        <v>-1.7788147179456735E-2</v>
      </c>
    </row>
    <row r="40" spans="1:9" x14ac:dyDescent="0.2">
      <c r="A40" s="13" t="s">
        <v>4</v>
      </c>
      <c r="B40" s="47"/>
      <c r="C40" s="36">
        <f>'[2]SPM poverty tables'!$G$843/1000</f>
        <v>176.048</v>
      </c>
      <c r="D40" s="26">
        <f>C40/$B$36</f>
        <v>0.58186721840843214</v>
      </c>
      <c r="E40" s="36">
        <f>'[3]SPM tables'!$G$843/1000</f>
        <v>174.81200000000001</v>
      </c>
      <c r="F40" s="26">
        <f t="shared" si="25"/>
        <v>0.57778203776478487</v>
      </c>
      <c r="G40" s="28">
        <f t="shared" si="2"/>
        <v>-1.23599999999999</v>
      </c>
      <c r="H40" s="33">
        <f t="shared" si="22"/>
        <v>-0.41</v>
      </c>
      <c r="I40" s="26">
        <f t="shared" si="23"/>
        <v>-7.0208125056802125E-3</v>
      </c>
    </row>
    <row r="41" spans="1:9" x14ac:dyDescent="0.2">
      <c r="A41" s="5" t="s">
        <v>22</v>
      </c>
      <c r="B41" s="47">
        <f>'[1]ATTIS Summary Tables'!$J$842/1000</f>
        <v>581.31899999999996</v>
      </c>
      <c r="C41" s="36"/>
      <c r="D41" s="26"/>
      <c r="E41" s="36"/>
      <c r="F41" s="26"/>
      <c r="G41" s="28"/>
      <c r="H41" s="45"/>
      <c r="I41" s="26"/>
    </row>
    <row r="42" spans="1:9" x14ac:dyDescent="0.2">
      <c r="A42" s="13" t="s">
        <v>1</v>
      </c>
      <c r="B42" s="47"/>
      <c r="C42" s="36">
        <f>'[2]SPM poverty tables'!$D$842/1000</f>
        <v>17.120999999999999</v>
      </c>
      <c r="D42" s="26">
        <f>C42/$B$41</f>
        <v>2.9451987635016229E-2</v>
      </c>
      <c r="E42" s="36">
        <f>'[3]SPM tables'!$D$842/1000</f>
        <v>15.445</v>
      </c>
      <c r="F42" s="26">
        <f>E42/$B$41</f>
        <v>2.6568889026506962E-2</v>
      </c>
      <c r="G42" s="28">
        <f t="shared" si="2"/>
        <v>-1.6759999999999984</v>
      </c>
      <c r="H42" s="33">
        <f t="shared" ref="H42:H45" si="26">ROUND((F42-D42)*100,2)</f>
        <v>-0.28999999999999998</v>
      </c>
      <c r="I42" s="26">
        <f t="shared" ref="I42:I45" si="27">(E42-C42)/C42</f>
        <v>-9.7891478301500995E-2</v>
      </c>
    </row>
    <row r="43" spans="1:9" x14ac:dyDescent="0.2">
      <c r="A43" s="13" t="s">
        <v>2</v>
      </c>
      <c r="B43" s="47"/>
      <c r="C43" s="36">
        <f>'[2]SPM poverty tables'!$E$842/1000</f>
        <v>90.269000000000005</v>
      </c>
      <c r="D43" s="26">
        <f t="shared" ref="D43:D45" si="28">C43/$B$41</f>
        <v>0.15528307177298525</v>
      </c>
      <c r="E43" s="36">
        <f>'[3]SPM tables'!$E$842/1000</f>
        <v>80.471000000000004</v>
      </c>
      <c r="F43" s="26">
        <f t="shared" ref="F43:F45" si="29">E43/$B$41</f>
        <v>0.13842829840414644</v>
      </c>
      <c r="G43" s="28">
        <f t="shared" si="2"/>
        <v>-9.7980000000000018</v>
      </c>
      <c r="H43" s="33">
        <f t="shared" si="26"/>
        <v>-1.69</v>
      </c>
      <c r="I43" s="26">
        <f t="shared" si="27"/>
        <v>-0.10854224595376044</v>
      </c>
    </row>
    <row r="44" spans="1:9" x14ac:dyDescent="0.2">
      <c r="A44" s="13" t="s">
        <v>3</v>
      </c>
      <c r="B44" s="47"/>
      <c r="C44" s="36">
        <f>'[2]SPM poverty tables'!$F$842/1000</f>
        <v>290.92399999999998</v>
      </c>
      <c r="D44" s="26">
        <f t="shared" si="28"/>
        <v>0.50045499975056729</v>
      </c>
      <c r="E44" s="36">
        <f>'[3]SPM tables'!$F$842/1000</f>
        <v>275.16000000000003</v>
      </c>
      <c r="F44" s="26">
        <f t="shared" si="29"/>
        <v>0.47333735866193954</v>
      </c>
      <c r="G44" s="28">
        <f t="shared" si="2"/>
        <v>-15.763999999999953</v>
      </c>
      <c r="H44" s="33">
        <f t="shared" si="26"/>
        <v>-2.71</v>
      </c>
      <c r="I44" s="26">
        <f t="shared" si="27"/>
        <v>-5.4185972968885186E-2</v>
      </c>
    </row>
    <row r="45" spans="1:9" x14ac:dyDescent="0.2">
      <c r="A45" s="13" t="s">
        <v>4</v>
      </c>
      <c r="B45" s="47"/>
      <c r="C45" s="36">
        <f>'[2]SPM poverty tables'!$G$842/1000</f>
        <v>400.09300000000002</v>
      </c>
      <c r="D45" s="26">
        <f t="shared" si="28"/>
        <v>0.68825034103478477</v>
      </c>
      <c r="E45" s="36">
        <f>'[3]SPM tables'!$G$842/1000</f>
        <v>396.57600000000002</v>
      </c>
      <c r="F45" s="26">
        <f t="shared" si="29"/>
        <v>0.68220030654425545</v>
      </c>
      <c r="G45" s="28">
        <f t="shared" si="2"/>
        <v>-3.5169999999999959</v>
      </c>
      <c r="H45" s="33">
        <f t="shared" si="26"/>
        <v>-0.61</v>
      </c>
      <c r="I45" s="26">
        <f t="shared" si="27"/>
        <v>-8.7904562189290887E-3</v>
      </c>
    </row>
    <row r="46" spans="1:9" x14ac:dyDescent="0.2">
      <c r="A46" s="5" t="s">
        <v>24</v>
      </c>
      <c r="B46" s="47">
        <f>'[1]ATTIS Summary Tables'!$J$844/1000</f>
        <v>995.53099999999995</v>
      </c>
      <c r="C46" s="36"/>
      <c r="D46" s="26"/>
      <c r="E46" s="36"/>
      <c r="F46" s="26"/>
      <c r="G46" s="28"/>
      <c r="H46" s="45"/>
      <c r="I46" s="26"/>
    </row>
    <row r="47" spans="1:9" x14ac:dyDescent="0.2">
      <c r="A47" s="13" t="s">
        <v>1</v>
      </c>
      <c r="B47" s="47"/>
      <c r="C47" s="36">
        <f>'[2]SPM poverty tables'!$D$844/1000</f>
        <v>28.303000000000001</v>
      </c>
      <c r="D47" s="26">
        <f>C47/$B$46</f>
        <v>2.8430053910927938E-2</v>
      </c>
      <c r="E47" s="36">
        <f>'[3]SPM tables'!$D$844/1000</f>
        <v>26.952000000000002</v>
      </c>
      <c r="F47" s="26">
        <f>E47/$B$46</f>
        <v>2.7072989188684234E-2</v>
      </c>
      <c r="G47" s="28">
        <f t="shared" si="2"/>
        <v>-1.3509999999999991</v>
      </c>
      <c r="H47" s="33">
        <f t="shared" ref="H47:H50" si="30">ROUND((F47-D47)*100,2)</f>
        <v>-0.14000000000000001</v>
      </c>
      <c r="I47" s="26">
        <f t="shared" ref="I47:I50" si="31">(E47-C47)/C47</f>
        <v>-4.7733455817404478E-2</v>
      </c>
    </row>
    <row r="48" spans="1:9" x14ac:dyDescent="0.2">
      <c r="A48" s="13" t="s">
        <v>2</v>
      </c>
      <c r="B48" s="47"/>
      <c r="C48" s="36">
        <f>'[2]SPM poverty tables'!$E$844/1000</f>
        <v>202.54900000000001</v>
      </c>
      <c r="D48" s="26">
        <f t="shared" ref="D48:D50" si="32">C48/$B$46</f>
        <v>0.20345825494133282</v>
      </c>
      <c r="E48" s="36">
        <f>'[3]SPM tables'!$E$844/1000</f>
        <v>183.47800000000001</v>
      </c>
      <c r="F48" s="26">
        <f t="shared" ref="F48:F50" si="33">E48/$B$46</f>
        <v>0.18430164404724717</v>
      </c>
      <c r="G48" s="28">
        <f t="shared" si="2"/>
        <v>-19.070999999999998</v>
      </c>
      <c r="H48" s="33">
        <f t="shared" si="30"/>
        <v>-1.92</v>
      </c>
      <c r="I48" s="26">
        <f t="shared" si="31"/>
        <v>-9.4154994593900726E-2</v>
      </c>
    </row>
    <row r="49" spans="1:9" x14ac:dyDescent="0.2">
      <c r="A49" s="13" t="s">
        <v>3</v>
      </c>
      <c r="B49" s="47"/>
      <c r="C49" s="36">
        <f>'[2]SPM poverty tables'!$F$844/1000</f>
        <v>530.75300000000004</v>
      </c>
      <c r="D49" s="26">
        <f t="shared" si="32"/>
        <v>0.53313558292006991</v>
      </c>
      <c r="E49" s="36">
        <f>'[3]SPM tables'!$F$844/1000</f>
        <v>516.72299999999996</v>
      </c>
      <c r="F49" s="26">
        <f t="shared" si="33"/>
        <v>0.51904260138559222</v>
      </c>
      <c r="G49" s="28">
        <f t="shared" si="2"/>
        <v>-14.030000000000086</v>
      </c>
      <c r="H49" s="33">
        <f t="shared" si="30"/>
        <v>-1.41</v>
      </c>
      <c r="I49" s="26">
        <f t="shared" si="31"/>
        <v>-2.643414168172405E-2</v>
      </c>
    </row>
    <row r="50" spans="1:9" x14ac:dyDescent="0.2">
      <c r="A50" s="13" t="s">
        <v>4</v>
      </c>
      <c r="B50" s="47"/>
      <c r="C50" s="36">
        <f>'[2]SPM poverty tables'!$G$843/1000</f>
        <v>176.048</v>
      </c>
      <c r="D50" s="26">
        <f t="shared" si="32"/>
        <v>0.17683829031943757</v>
      </c>
      <c r="E50" s="36">
        <f>'[3]SPM tables'!$G$843/1000</f>
        <v>174.81200000000001</v>
      </c>
      <c r="F50" s="26">
        <f t="shared" si="33"/>
        <v>0.17559674183927976</v>
      </c>
      <c r="G50" s="28">
        <f t="shared" si="2"/>
        <v>-1.23599999999999</v>
      </c>
      <c r="H50" s="33">
        <f t="shared" si="30"/>
        <v>-0.12</v>
      </c>
      <c r="I50" s="26">
        <f t="shared" si="31"/>
        <v>-7.0208125056802125E-3</v>
      </c>
    </row>
    <row r="51" spans="1:9" x14ac:dyDescent="0.2">
      <c r="A51" s="5" t="s">
        <v>25</v>
      </c>
      <c r="B51" s="47">
        <f>'[1]ATTIS Summary Tables'!$J$841/1000</f>
        <v>1910.53</v>
      </c>
      <c r="C51" s="36"/>
      <c r="D51" s="26"/>
      <c r="E51" s="36"/>
      <c r="F51" s="26"/>
      <c r="G51" s="28"/>
      <c r="H51" s="45"/>
      <c r="I51" s="26"/>
    </row>
    <row r="52" spans="1:9" x14ac:dyDescent="0.2">
      <c r="A52" s="13" t="s">
        <v>1</v>
      </c>
      <c r="B52" s="47"/>
      <c r="C52" s="36">
        <f>'[2]SPM poverty tables'!$D$841/1000</f>
        <v>27.898</v>
      </c>
      <c r="D52" s="26">
        <f>C52/$B$51</f>
        <v>1.4602230794596265E-2</v>
      </c>
      <c r="E52" s="36">
        <f>'[3]SPM tables'!$D$841/1000</f>
        <v>26.149000000000001</v>
      </c>
      <c r="F52" s="26">
        <f>E52/$B$51</f>
        <v>1.3686778014477659E-2</v>
      </c>
      <c r="G52" s="28">
        <f t="shared" si="2"/>
        <v>-1.7489999999999988</v>
      </c>
      <c r="H52" s="33">
        <f t="shared" ref="H52:H55" si="34">ROUND((F52-D52)*100,2)</f>
        <v>-0.09</v>
      </c>
      <c r="I52" s="26">
        <f t="shared" ref="I52:I55" si="35">(E52-C52)/C52</f>
        <v>-6.2692666140941961E-2</v>
      </c>
    </row>
    <row r="53" spans="1:9" x14ac:dyDescent="0.2">
      <c r="A53" s="13" t="s">
        <v>2</v>
      </c>
      <c r="B53" s="47"/>
      <c r="C53" s="36">
        <f>'[2]SPM poverty tables'!$E$841/1000</f>
        <v>176.56100000000001</v>
      </c>
      <c r="D53" s="26">
        <f t="shared" ref="D53:D55" si="36">C53/$B$51</f>
        <v>9.2414670274740526E-2</v>
      </c>
      <c r="E53" s="36">
        <f>'[3]SPM tables'!$E$841/1000</f>
        <v>158.233</v>
      </c>
      <c r="F53" s="26">
        <f t="shared" ref="F53:F55" si="37">E53/$B$51</f>
        <v>8.2821520729849829E-2</v>
      </c>
      <c r="G53" s="28">
        <f t="shared" si="2"/>
        <v>-18.328000000000003</v>
      </c>
      <c r="H53" s="33">
        <f t="shared" si="34"/>
        <v>-0.96</v>
      </c>
      <c r="I53" s="26">
        <f t="shared" si="35"/>
        <v>-0.10380548365720631</v>
      </c>
    </row>
    <row r="54" spans="1:9" x14ac:dyDescent="0.2">
      <c r="A54" s="13" t="s">
        <v>3</v>
      </c>
      <c r="B54" s="47"/>
      <c r="C54" s="36">
        <f>'[2]SPM poverty tables'!$F$841/1000</f>
        <v>442.54300000000001</v>
      </c>
      <c r="D54" s="26">
        <f t="shared" si="36"/>
        <v>0.23163363045856386</v>
      </c>
      <c r="E54" s="36">
        <f>'[3]SPM tables'!$F$841/1000</f>
        <v>420.99</v>
      </c>
      <c r="F54" s="26">
        <f t="shared" si="37"/>
        <v>0.22035246763986957</v>
      </c>
      <c r="G54" s="28">
        <f t="shared" si="2"/>
        <v>-21.552999999999997</v>
      </c>
      <c r="H54" s="33">
        <f t="shared" si="34"/>
        <v>-1.1299999999999999</v>
      </c>
      <c r="I54" s="26">
        <f t="shared" si="35"/>
        <v>-4.8702611949573253E-2</v>
      </c>
    </row>
    <row r="55" spans="1:9" x14ac:dyDescent="0.2">
      <c r="A55" s="13" t="s">
        <v>4</v>
      </c>
      <c r="B55" s="47"/>
      <c r="C55" s="36">
        <f>'[2]SPM poverty tables'!$G$841/1000</f>
        <v>698.625</v>
      </c>
      <c r="D55" s="26">
        <f t="shared" si="36"/>
        <v>0.36567078245303658</v>
      </c>
      <c r="E55" s="36">
        <f>'[3]SPM tables'!$G$841/1000</f>
        <v>685.11</v>
      </c>
      <c r="F55" s="26">
        <f t="shared" si="37"/>
        <v>0.3585968291521201</v>
      </c>
      <c r="G55" s="28">
        <f t="shared" si="2"/>
        <v>-13.514999999999986</v>
      </c>
      <c r="H55" s="33">
        <f t="shared" si="34"/>
        <v>-0.71</v>
      </c>
      <c r="I55" s="26">
        <f t="shared" si="35"/>
        <v>-1.934514224369295E-2</v>
      </c>
    </row>
    <row r="56" spans="1:9" x14ac:dyDescent="0.2">
      <c r="A56" s="5" t="s">
        <v>60</v>
      </c>
      <c r="B56" s="47">
        <f>'[1]ATTIS Summary Tables'!$J$845/1000</f>
        <v>203.99799999999999</v>
      </c>
      <c r="C56" s="36"/>
      <c r="D56" s="26"/>
      <c r="E56" s="36"/>
      <c r="F56" s="26"/>
      <c r="G56" s="28"/>
      <c r="H56" s="45"/>
      <c r="I56" s="26"/>
    </row>
    <row r="57" spans="1:9" x14ac:dyDescent="0.2">
      <c r="A57" s="13" t="s">
        <v>1</v>
      </c>
      <c r="B57" s="47"/>
      <c r="C57" s="36">
        <f>'[2]SPM poverty tables'!$D$845/1000</f>
        <v>5.5570000000000004</v>
      </c>
      <c r="D57" s="26">
        <f>C57/$B$56</f>
        <v>2.7240463141795512E-2</v>
      </c>
      <c r="E57" s="36">
        <f>'[3]SPM tables'!$D$845/1000</f>
        <v>4.4660000000000002</v>
      </c>
      <c r="F57" s="26">
        <f>E57/$B$56</f>
        <v>2.1892371493838176E-2</v>
      </c>
      <c r="G57" s="28">
        <f t="shared" si="2"/>
        <v>-1.0910000000000002</v>
      </c>
      <c r="H57" s="38">
        <f t="shared" ref="H57:H60" si="38">ROUND((F57-D57)*100,2)</f>
        <v>-0.53</v>
      </c>
      <c r="I57" s="26">
        <f t="shared" ref="I57:I60" si="39">(E57-C57)/C57</f>
        <v>-0.19632895447183735</v>
      </c>
    </row>
    <row r="58" spans="1:9" x14ac:dyDescent="0.2">
      <c r="A58" s="13" t="s">
        <v>2</v>
      </c>
      <c r="B58" s="47"/>
      <c r="C58" s="36">
        <f>'[2]SPM poverty tables'!$E$845/1000</f>
        <v>31.452999999999999</v>
      </c>
      <c r="D58" s="37">
        <f t="shared" ref="D58:D60" si="40">C58/$B$56</f>
        <v>0.15418288414592302</v>
      </c>
      <c r="E58" s="36">
        <f>'[3]SPM tables'!$E$845/1000</f>
        <v>29.658000000000001</v>
      </c>
      <c r="F58" s="32">
        <f t="shared" ref="F58:F60" si="41">E58/$B$56</f>
        <v>0.14538377827233601</v>
      </c>
      <c r="G58" s="28">
        <f t="shared" si="2"/>
        <v>-1.7949999999999982</v>
      </c>
      <c r="H58" s="38">
        <f t="shared" si="38"/>
        <v>-0.88</v>
      </c>
      <c r="I58" s="26">
        <f t="shared" si="39"/>
        <v>-5.7069277970304845E-2</v>
      </c>
    </row>
    <row r="59" spans="1:9" x14ac:dyDescent="0.2">
      <c r="A59" s="13" t="s">
        <v>3</v>
      </c>
      <c r="B59" s="47"/>
      <c r="C59" s="36">
        <f>'[2]SPM poverty tables'!$F$845/1000</f>
        <v>73.986000000000004</v>
      </c>
      <c r="D59" s="37">
        <f t="shared" si="40"/>
        <v>0.36268002627476742</v>
      </c>
      <c r="E59" s="36">
        <f>'[3]SPM tables'!$F$845/1000</f>
        <v>71.454999999999998</v>
      </c>
      <c r="F59" s="32">
        <f t="shared" si="41"/>
        <v>0.35027304189256758</v>
      </c>
      <c r="G59" s="28">
        <f t="shared" si="2"/>
        <v>-2.5310000000000059</v>
      </c>
      <c r="H59" s="38">
        <f t="shared" si="38"/>
        <v>-1.24</v>
      </c>
      <c r="I59" s="26">
        <f t="shared" si="39"/>
        <v>-3.4209174708728758E-2</v>
      </c>
    </row>
    <row r="60" spans="1:9" ht="13.5" thickBot="1" x14ac:dyDescent="0.25">
      <c r="A60" s="16" t="s">
        <v>4</v>
      </c>
      <c r="B60" s="48"/>
      <c r="C60" s="39">
        <f>'[2]SPM poverty tables'!$G$845/1000</f>
        <v>104.681</v>
      </c>
      <c r="D60" s="40">
        <f t="shared" si="40"/>
        <v>0.51314718771752665</v>
      </c>
      <c r="E60" s="39">
        <f>'[3]SPM tables'!$G$845/1000</f>
        <v>104.009</v>
      </c>
      <c r="F60" s="41">
        <f t="shared" si="41"/>
        <v>0.50985303777488022</v>
      </c>
      <c r="G60" s="28">
        <f t="shared" si="2"/>
        <v>-0.67199999999999704</v>
      </c>
      <c r="H60" s="43">
        <f t="shared" si="38"/>
        <v>-0.33</v>
      </c>
      <c r="I60" s="26">
        <f t="shared" si="39"/>
        <v>-6.4195030616826078E-3</v>
      </c>
    </row>
    <row r="61" spans="1:9" ht="12.75" customHeight="1" x14ac:dyDescent="0.2">
      <c r="A61" s="78" t="s">
        <v>86</v>
      </c>
      <c r="B61" s="78"/>
      <c r="C61" s="78"/>
      <c r="D61" s="78"/>
      <c r="E61" s="78"/>
      <c r="F61" s="78"/>
      <c r="G61" s="78"/>
      <c r="H61" s="78"/>
      <c r="I61" s="78"/>
    </row>
    <row r="62" spans="1:9" ht="53.25" customHeight="1" x14ac:dyDescent="0.2">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election activeCell="K11" sqref="K11"/>
    </sheetView>
  </sheetViews>
  <sheetFormatPr defaultColWidth="9.140625" defaultRowHeight="12.75" x14ac:dyDescent="0.2"/>
  <cols>
    <col min="1" max="1" width="48.85546875" style="1" customWidth="1"/>
    <col min="2" max="2" width="12.285156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10" x14ac:dyDescent="0.2">
      <c r="A1" s="6" t="s">
        <v>80</v>
      </c>
      <c r="B1" s="25"/>
    </row>
    <row r="2" spans="1:10" x14ac:dyDescent="0.2">
      <c r="A2" s="6" t="s">
        <v>142</v>
      </c>
      <c r="B2" s="25"/>
    </row>
    <row r="3" spans="1:10" x14ac:dyDescent="0.2">
      <c r="A3" s="70" t="s">
        <v>136</v>
      </c>
      <c r="B3" s="25"/>
    </row>
    <row r="4" spans="1:10" x14ac:dyDescent="0.2">
      <c r="A4" s="1" t="s">
        <v>112</v>
      </c>
      <c r="E4" s="72"/>
      <c r="F4" s="72"/>
      <c r="G4" s="72"/>
    </row>
    <row r="5" spans="1:10" ht="28.5" customHeight="1" thickBot="1" x14ac:dyDescent="0.25">
      <c r="E5" s="73" t="s">
        <v>138</v>
      </c>
      <c r="F5" s="73"/>
      <c r="G5" s="73"/>
      <c r="H5" s="73"/>
      <c r="I5" s="73"/>
      <c r="J5" s="17"/>
    </row>
    <row r="6" spans="1:10" ht="55.9" customHeight="1" thickBot="1" x14ac:dyDescent="0.25">
      <c r="A6" s="3"/>
      <c r="B6" s="18" t="s">
        <v>72</v>
      </c>
      <c r="C6" s="23" t="s">
        <v>100</v>
      </c>
      <c r="D6" s="23" t="s">
        <v>99</v>
      </c>
      <c r="E6" s="24" t="s">
        <v>101</v>
      </c>
      <c r="F6" s="23" t="s">
        <v>98</v>
      </c>
      <c r="G6" s="23" t="s">
        <v>73</v>
      </c>
      <c r="H6" s="23" t="s">
        <v>74</v>
      </c>
      <c r="I6" s="23" t="s">
        <v>77</v>
      </c>
      <c r="J6" s="9"/>
    </row>
    <row r="7" spans="1:10" ht="15" x14ac:dyDescent="0.2">
      <c r="A7" s="1" t="s">
        <v>96</v>
      </c>
      <c r="B7" s="49">
        <f>'[1]ATTIS Summary Tables'!$C$172</f>
        <v>8068</v>
      </c>
      <c r="C7" s="50"/>
      <c r="D7" s="51"/>
      <c r="E7" s="50"/>
      <c r="F7" s="52"/>
      <c r="G7" s="28"/>
      <c r="H7" s="45"/>
      <c r="I7" s="26"/>
    </row>
    <row r="8" spans="1:10" ht="15" x14ac:dyDescent="0.2">
      <c r="A8" s="12" t="s">
        <v>93</v>
      </c>
      <c r="B8" s="53"/>
      <c r="C8" s="54"/>
      <c r="D8" s="55"/>
      <c r="E8" s="54"/>
      <c r="F8" s="56"/>
      <c r="H8" s="57"/>
    </row>
    <row r="9" spans="1:10" x14ac:dyDescent="0.2">
      <c r="A9" s="5" t="s">
        <v>1</v>
      </c>
      <c r="B9" s="47"/>
      <c r="C9" s="36">
        <f>'[2]SPM poverty tables'!$C$215</f>
        <v>442</v>
      </c>
      <c r="D9" s="37">
        <f>C9/$B$7</f>
        <v>5.4784333168071395E-2</v>
      </c>
      <c r="E9" s="36">
        <f>'[3]SPM tables'!$C$215</f>
        <v>435</v>
      </c>
      <c r="F9" s="32">
        <f>E9/$B$7</f>
        <v>5.3916707982151708E-2</v>
      </c>
      <c r="G9" s="28">
        <f>E9-C9</f>
        <v>-7</v>
      </c>
      <c r="H9" s="33">
        <f>ROUND((F9-D9)*100,2)</f>
        <v>-0.09</v>
      </c>
      <c r="I9" s="26">
        <f>(E9-C9)/C9</f>
        <v>-1.5837104072398189E-2</v>
      </c>
    </row>
    <row r="10" spans="1:10" x14ac:dyDescent="0.2">
      <c r="A10" s="5" t="s">
        <v>2</v>
      </c>
      <c r="B10" s="47"/>
      <c r="C10" s="36">
        <f>SUM('[2]SPM poverty tables'!$C$215:$C$218)</f>
        <v>1308</v>
      </c>
      <c r="D10" s="37">
        <f t="shared" ref="D10:F12" si="0">C10/$B$7</f>
        <v>0.16212196331184928</v>
      </c>
      <c r="E10" s="36">
        <f>SUM('[3]SPM tables'!$C$215:$C$218)</f>
        <v>1279</v>
      </c>
      <c r="F10" s="32">
        <f t="shared" si="0"/>
        <v>0.15852751611303917</v>
      </c>
      <c r="G10" s="28">
        <f t="shared" ref="G10:G46" si="1">E10-C10</f>
        <v>-29</v>
      </c>
      <c r="H10" s="33">
        <f t="shared" ref="H10:H12" si="2">ROUND((F10-D10)*100,2)</f>
        <v>-0.36</v>
      </c>
      <c r="I10" s="26">
        <f t="shared" ref="I10:I12" si="3">(E10-C10)/C10</f>
        <v>-2.2171253822629969E-2</v>
      </c>
    </row>
    <row r="11" spans="1:10" x14ac:dyDescent="0.2">
      <c r="A11" s="5" t="s">
        <v>3</v>
      </c>
      <c r="B11" s="47"/>
      <c r="C11" s="36">
        <f>SUM('[2]SPM poverty tables'!$C$215:$C$220)</f>
        <v>2639</v>
      </c>
      <c r="D11" s="37">
        <f t="shared" si="0"/>
        <v>0.3270946950917204</v>
      </c>
      <c r="E11" s="36">
        <f>SUM('[3]SPM tables'!$C$215:$C$220)</f>
        <v>2603</v>
      </c>
      <c r="F11" s="32">
        <f t="shared" si="0"/>
        <v>0.32263262270699056</v>
      </c>
      <c r="G11" s="28">
        <f t="shared" si="1"/>
        <v>-36</v>
      </c>
      <c r="H11" s="33">
        <f t="shared" si="2"/>
        <v>-0.45</v>
      </c>
      <c r="I11" s="26">
        <f t="shared" si="3"/>
        <v>-1.3641530882910194E-2</v>
      </c>
    </row>
    <row r="12" spans="1:10" x14ac:dyDescent="0.2">
      <c r="A12" s="5" t="s">
        <v>4</v>
      </c>
      <c r="B12" s="47"/>
      <c r="C12" s="36">
        <f>SUM('[2]SPM poverty tables'!$C$215:$C$222)</f>
        <v>3570</v>
      </c>
      <c r="D12" s="37">
        <f t="shared" si="0"/>
        <v>0.44248884481903816</v>
      </c>
      <c r="E12" s="36">
        <f>SUM('[3]SPM tables'!$C$215:$C$222)</f>
        <v>3553</v>
      </c>
      <c r="F12" s="32">
        <f t="shared" si="0"/>
        <v>0.44038175508180466</v>
      </c>
      <c r="G12" s="28">
        <f t="shared" si="1"/>
        <v>-17</v>
      </c>
      <c r="H12" s="33">
        <f t="shared" si="2"/>
        <v>-0.21</v>
      </c>
      <c r="I12" s="26">
        <f t="shared" si="3"/>
        <v>-4.7619047619047623E-3</v>
      </c>
    </row>
    <row r="13" spans="1:10" x14ac:dyDescent="0.2">
      <c r="A13" s="7" t="s">
        <v>129</v>
      </c>
      <c r="B13" s="47">
        <f>'[1]ATTIS Summary Tables'!$C$172-'[1]ATTIS Summary Tables'!$D$172</f>
        <v>5981</v>
      </c>
      <c r="C13" s="36"/>
      <c r="D13" s="37"/>
      <c r="E13" s="36"/>
      <c r="F13" s="32"/>
      <c r="G13" s="28"/>
      <c r="H13" s="45"/>
      <c r="I13" s="26"/>
    </row>
    <row r="14" spans="1:10" x14ac:dyDescent="0.2">
      <c r="A14" s="12" t="s">
        <v>20</v>
      </c>
      <c r="B14" s="46"/>
      <c r="C14" s="36"/>
      <c r="D14" s="58"/>
      <c r="E14" s="34"/>
      <c r="F14" s="59"/>
      <c r="G14" s="28"/>
      <c r="H14" s="35"/>
      <c r="I14" s="26"/>
    </row>
    <row r="15" spans="1:10" ht="14.25" customHeight="1" x14ac:dyDescent="0.2">
      <c r="A15" s="5" t="s">
        <v>1</v>
      </c>
      <c r="B15" s="47"/>
      <c r="C15" s="36">
        <f>'[2]SPM poverty tables'!$C$215-'[2]SPM poverty tables'!$D$215</f>
        <v>393</v>
      </c>
      <c r="D15" s="37">
        <f>C15/$B$13</f>
        <v>6.5708075572646713E-2</v>
      </c>
      <c r="E15" s="36">
        <f>'[3]SPM tables'!$C$215-'[3]SPM tables'!$D$215</f>
        <v>390</v>
      </c>
      <c r="F15" s="32">
        <f>E15/$B$13</f>
        <v>6.5206487209496733E-2</v>
      </c>
      <c r="G15" s="28">
        <f t="shared" si="1"/>
        <v>-3</v>
      </c>
      <c r="H15" s="33">
        <f t="shared" ref="H15:H18" si="4">ROUND((F15-D15)*100,2)</f>
        <v>-0.05</v>
      </c>
      <c r="I15" s="26">
        <f t="shared" ref="I15:I18" si="5">(E15-C15)/C15</f>
        <v>-7.6335877862595417E-3</v>
      </c>
    </row>
    <row r="16" spans="1:10" x14ac:dyDescent="0.2">
      <c r="A16" s="5" t="s">
        <v>2</v>
      </c>
      <c r="B16" s="47"/>
      <c r="C16" s="36">
        <f>SUM('[2]SPM poverty tables'!$C$215:$C$218)-SUM('[2]SPM poverty tables'!$D$215:$D$218)</f>
        <v>1028</v>
      </c>
      <c r="D16" s="37">
        <f t="shared" ref="D16:F18" si="6">C16/$B$13</f>
        <v>0.1718776124393914</v>
      </c>
      <c r="E16" s="36">
        <f>SUM('[3]SPM tables'!$C$215:$C$218)-SUM('[3]SPM tables'!$D$215:$D$218)</f>
        <v>1023</v>
      </c>
      <c r="F16" s="32">
        <f t="shared" si="6"/>
        <v>0.17104163183414145</v>
      </c>
      <c r="G16" s="28">
        <f t="shared" si="1"/>
        <v>-5</v>
      </c>
      <c r="H16" s="33">
        <f t="shared" si="4"/>
        <v>-0.08</v>
      </c>
      <c r="I16" s="26">
        <f t="shared" si="5"/>
        <v>-4.8638132295719845E-3</v>
      </c>
    </row>
    <row r="17" spans="1:9" x14ac:dyDescent="0.2">
      <c r="A17" s="5" t="s">
        <v>3</v>
      </c>
      <c r="B17" s="47"/>
      <c r="C17" s="36">
        <f>SUM('[2]SPM poverty tables'!$C$215:$C$220)-SUM('[2]SPM poverty tables'!$D$215:$D$220)</f>
        <v>1916</v>
      </c>
      <c r="D17" s="37">
        <f t="shared" si="6"/>
        <v>0.32034776793178399</v>
      </c>
      <c r="E17" s="36">
        <f>SUM('[3]SPM tables'!$C$215:$C$220)-SUM('[3]SPM tables'!$D$215:$D$220)</f>
        <v>1905</v>
      </c>
      <c r="F17" s="32">
        <f t="shared" si="6"/>
        <v>0.31850861060023405</v>
      </c>
      <c r="G17" s="28">
        <f t="shared" si="1"/>
        <v>-11</v>
      </c>
      <c r="H17" s="33">
        <f t="shared" si="4"/>
        <v>-0.18</v>
      </c>
      <c r="I17" s="26">
        <f t="shared" si="5"/>
        <v>-5.7411273486430063E-3</v>
      </c>
    </row>
    <row r="18" spans="1:9" x14ac:dyDescent="0.2">
      <c r="A18" s="5" t="s">
        <v>4</v>
      </c>
      <c r="B18" s="47"/>
      <c r="C18" s="36">
        <f>SUM('[2]SPM poverty tables'!$C$215:$C$222)-SUM('[2]SPM poverty tables'!$D$215:$D$222)</f>
        <v>2532</v>
      </c>
      <c r="D18" s="37">
        <f t="shared" si="6"/>
        <v>0.42334057849857881</v>
      </c>
      <c r="E18" s="36">
        <f>SUM('[3]SPM tables'!$C$215:$C$222)-SUM('[3]SPM tables'!$D$215:$D$222)</f>
        <v>2527</v>
      </c>
      <c r="F18" s="32">
        <f t="shared" si="6"/>
        <v>0.42250459789332889</v>
      </c>
      <c r="G18" s="28">
        <f t="shared" si="1"/>
        <v>-5</v>
      </c>
      <c r="H18" s="33">
        <f t="shared" si="4"/>
        <v>-0.08</v>
      </c>
      <c r="I18" s="26">
        <f t="shared" si="5"/>
        <v>-1.9747235387045812E-3</v>
      </c>
    </row>
    <row r="19" spans="1:9" x14ac:dyDescent="0.2">
      <c r="A19" s="1" t="s">
        <v>69</v>
      </c>
      <c r="B19" s="47">
        <f>'[1]ATTIS Summary Tables'!$D$172</f>
        <v>2087</v>
      </c>
      <c r="C19" s="36"/>
      <c r="D19" s="37"/>
      <c r="E19" s="36"/>
      <c r="F19" s="32"/>
      <c r="G19" s="28"/>
      <c r="H19" s="45"/>
      <c r="I19" s="26"/>
    </row>
    <row r="20" spans="1:9" x14ac:dyDescent="0.2">
      <c r="A20" s="12" t="s">
        <v>20</v>
      </c>
      <c r="B20" s="46"/>
      <c r="C20" s="34"/>
      <c r="D20" s="58"/>
      <c r="E20" s="34"/>
      <c r="F20" s="59"/>
      <c r="G20" s="28"/>
      <c r="H20" s="35"/>
      <c r="I20" s="26"/>
    </row>
    <row r="21" spans="1:9" x14ac:dyDescent="0.2">
      <c r="A21" s="5" t="s">
        <v>1</v>
      </c>
      <c r="B21" s="47"/>
      <c r="C21" s="36">
        <f>'[2]SPM poverty tables'!$D$215</f>
        <v>49</v>
      </c>
      <c r="D21" s="37">
        <f>C21/$B$19</f>
        <v>2.3478677527551509E-2</v>
      </c>
      <c r="E21" s="36">
        <f>'[3]SPM tables'!$D$215</f>
        <v>45</v>
      </c>
      <c r="F21" s="32">
        <f>E21/$B$19</f>
        <v>2.1562050790608529E-2</v>
      </c>
      <c r="G21" s="28">
        <f t="shared" si="1"/>
        <v>-4</v>
      </c>
      <c r="H21" s="33">
        <f t="shared" ref="H21:H24" si="7">ROUND((F21-D21)*100,2)</f>
        <v>-0.19</v>
      </c>
      <c r="I21" s="26">
        <f t="shared" ref="I21:I24" si="8">(E21-C21)/C21</f>
        <v>-8.1632653061224483E-2</v>
      </c>
    </row>
    <row r="22" spans="1:9" x14ac:dyDescent="0.2">
      <c r="A22" s="5" t="s">
        <v>2</v>
      </c>
      <c r="B22" s="47"/>
      <c r="C22" s="36">
        <f>SUM('[2]SPM poverty tables'!$D$215:$D$218)</f>
        <v>280</v>
      </c>
      <c r="D22" s="37">
        <f t="shared" ref="D22:F24" si="9">C22/$B$19</f>
        <v>0.13416387158600862</v>
      </c>
      <c r="E22" s="36">
        <f>SUM('[3]SPM tables'!$D$215:$D$218)</f>
        <v>256</v>
      </c>
      <c r="F22" s="32">
        <f t="shared" si="9"/>
        <v>0.12266411116435075</v>
      </c>
      <c r="G22" s="28">
        <f t="shared" si="1"/>
        <v>-24</v>
      </c>
      <c r="H22" s="33">
        <f t="shared" si="7"/>
        <v>-1.1499999999999999</v>
      </c>
      <c r="I22" s="26">
        <f t="shared" si="8"/>
        <v>-8.5714285714285715E-2</v>
      </c>
    </row>
    <row r="23" spans="1:9" x14ac:dyDescent="0.2">
      <c r="A23" s="5" t="s">
        <v>3</v>
      </c>
      <c r="B23" s="47"/>
      <c r="C23" s="36">
        <f>SUM('[2]SPM poverty tables'!$D$215:$D$220)</f>
        <v>723</v>
      </c>
      <c r="D23" s="37">
        <f t="shared" si="9"/>
        <v>0.34643028270244369</v>
      </c>
      <c r="E23" s="36">
        <f>SUM('[3]SPM tables'!$D$215:$D$220)</f>
        <v>698</v>
      </c>
      <c r="F23" s="32">
        <f t="shared" si="9"/>
        <v>0.33445136559655009</v>
      </c>
      <c r="G23" s="28">
        <f t="shared" si="1"/>
        <v>-25</v>
      </c>
      <c r="H23" s="33">
        <f t="shared" si="7"/>
        <v>-1.2</v>
      </c>
      <c r="I23" s="26">
        <f t="shared" si="8"/>
        <v>-3.4578146611341634E-2</v>
      </c>
    </row>
    <row r="24" spans="1:9" x14ac:dyDescent="0.2">
      <c r="A24" s="5" t="s">
        <v>4</v>
      </c>
      <c r="B24" s="47"/>
      <c r="C24" s="36">
        <f>SUM('[2]SPM poverty tables'!$D$215:$D$222)</f>
        <v>1038</v>
      </c>
      <c r="D24" s="37">
        <f t="shared" si="9"/>
        <v>0.4973646382367034</v>
      </c>
      <c r="E24" s="36">
        <f>SUM('[3]SPM tables'!$D$215:$D$222)</f>
        <v>1026</v>
      </c>
      <c r="F24" s="32">
        <f t="shared" si="9"/>
        <v>0.49161475802587445</v>
      </c>
      <c r="G24" s="28">
        <f t="shared" si="1"/>
        <v>-12</v>
      </c>
      <c r="H24" s="33">
        <f t="shared" si="7"/>
        <v>-0.56999999999999995</v>
      </c>
      <c r="I24" s="26">
        <f t="shared" si="8"/>
        <v>-1.1560693641618497E-2</v>
      </c>
    </row>
    <row r="25" spans="1:9" x14ac:dyDescent="0.2">
      <c r="A25" s="12" t="s">
        <v>26</v>
      </c>
      <c r="B25" s="46"/>
      <c r="C25" s="34"/>
      <c r="D25" s="58"/>
      <c r="E25" s="34"/>
      <c r="F25" s="59"/>
      <c r="G25" s="28"/>
      <c r="H25" s="45"/>
      <c r="I25" s="26"/>
    </row>
    <row r="26" spans="1:9" x14ac:dyDescent="0.2">
      <c r="A26" s="5" t="s">
        <v>7</v>
      </c>
      <c r="B26" s="47">
        <f>'[1]ATTIS Summary Tables'!$D$172-'[1]ATTIS Summary Tables'!$G$172-'[1]ATTIS Summary Tables'!$H$172</f>
        <v>1326</v>
      </c>
      <c r="C26" s="36"/>
      <c r="D26" s="37"/>
      <c r="E26" s="36"/>
      <c r="F26" s="32"/>
      <c r="G26" s="28"/>
      <c r="H26" s="45"/>
      <c r="I26" s="26"/>
    </row>
    <row r="27" spans="1:9" x14ac:dyDescent="0.2">
      <c r="A27" s="13" t="s">
        <v>1</v>
      </c>
      <c r="B27" s="47"/>
      <c r="C27" s="36">
        <f>'[2]SPM poverty tables'!$D$215-'[2]SPM poverty tables'!$G$215-'[2]SPM poverty tables'!$H$215</f>
        <v>16</v>
      </c>
      <c r="D27" s="37">
        <f>C27/$B$26</f>
        <v>1.2066365007541479E-2</v>
      </c>
      <c r="E27" s="36">
        <f>'[3]SPM tables'!$D$215-'[3]SPM tables'!$G$215-'[3]SPM tables'!$H$215</f>
        <v>14</v>
      </c>
      <c r="F27" s="32">
        <f>E27/$B$26</f>
        <v>1.0558069381598794E-2</v>
      </c>
      <c r="G27" s="28">
        <f t="shared" si="1"/>
        <v>-2</v>
      </c>
      <c r="H27" s="33">
        <f t="shared" ref="H27:H30" si="10">ROUND((F27-D27)*100,2)</f>
        <v>-0.15</v>
      </c>
      <c r="I27" s="26">
        <f t="shared" ref="I27:I30" si="11">(E27-C27)/C27</f>
        <v>-0.125</v>
      </c>
    </row>
    <row r="28" spans="1:9" x14ac:dyDescent="0.2">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99</v>
      </c>
      <c r="F28" s="32">
        <f t="shared" si="12"/>
        <v>7.4660633484162894E-2</v>
      </c>
      <c r="G28" s="28">
        <f t="shared" si="1"/>
        <v>-14</v>
      </c>
      <c r="H28" s="33">
        <f t="shared" si="10"/>
        <v>-1.06</v>
      </c>
      <c r="I28" s="26">
        <f t="shared" si="11"/>
        <v>-0.12389380530973451</v>
      </c>
    </row>
    <row r="29" spans="1:9" x14ac:dyDescent="0.2">
      <c r="A29" s="13" t="s">
        <v>3</v>
      </c>
      <c r="B29" s="47"/>
      <c r="C29" s="36">
        <f>SUM('[2]SPM poverty tables'!$D$215:$D$220)-SUM('[2]SPM poverty tables'!$G$215:$G$220)-SUM('[2]SPM poverty tables'!$H$215:$H$220)</f>
        <v>318</v>
      </c>
      <c r="D29" s="37">
        <f t="shared" si="12"/>
        <v>0.23981900452488689</v>
      </c>
      <c r="E29" s="36">
        <f>SUM('[3]SPM tables'!$D$215:$D$220)-SUM('[3]SPM tables'!$G$215:$G$220)-SUM('[3]SPM tables'!$H$215:$H$220)</f>
        <v>305</v>
      </c>
      <c r="F29" s="32">
        <f t="shared" si="12"/>
        <v>0.23001508295625941</v>
      </c>
      <c r="G29" s="28">
        <f t="shared" si="1"/>
        <v>-13</v>
      </c>
      <c r="H29" s="33">
        <f t="shared" si="10"/>
        <v>-0.98</v>
      </c>
      <c r="I29" s="26">
        <f t="shared" si="11"/>
        <v>-4.0880503144654086E-2</v>
      </c>
    </row>
    <row r="30" spans="1:9" x14ac:dyDescent="0.2">
      <c r="A30" s="13" t="s">
        <v>4</v>
      </c>
      <c r="B30" s="47"/>
      <c r="C30" s="36">
        <f>SUM('[2]SPM poverty tables'!$D$215:$D$222)-SUM('[2]SPM poverty tables'!$G$215:$G$222)-SUM('[2]SPM poverty tables'!$H$215:$H$222)</f>
        <v>495</v>
      </c>
      <c r="D30" s="37">
        <f t="shared" si="12"/>
        <v>0.37330316742081449</v>
      </c>
      <c r="E30" s="36">
        <f>SUM('[3]SPM tables'!$D$215:$D$222)-SUM('[3]SPM tables'!$G$215:$G$222)-SUM('[3]SPM tables'!$H$215:$H$222)</f>
        <v>486</v>
      </c>
      <c r="F30" s="32">
        <f t="shared" si="12"/>
        <v>0.36651583710407237</v>
      </c>
      <c r="G30" s="28">
        <f t="shared" si="1"/>
        <v>-9</v>
      </c>
      <c r="H30" s="33">
        <f t="shared" si="10"/>
        <v>-0.68</v>
      </c>
      <c r="I30" s="26">
        <f t="shared" si="11"/>
        <v>-1.8181818181818181E-2</v>
      </c>
    </row>
    <row r="31" spans="1:9" x14ac:dyDescent="0.2">
      <c r="A31" s="5" t="s">
        <v>102</v>
      </c>
      <c r="B31" s="47">
        <f>'[1]ATTIS Summary Tables'!$G$172+'[1]ATTIS Summary Tables'!$H$172</f>
        <v>761</v>
      </c>
      <c r="C31" s="36"/>
      <c r="D31" s="37"/>
      <c r="E31" s="36"/>
      <c r="F31" s="32"/>
      <c r="G31" s="28"/>
      <c r="H31" s="45"/>
      <c r="I31" s="26"/>
    </row>
    <row r="32" spans="1:9" x14ac:dyDescent="0.2">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2">
      <c r="A33" s="13" t="s">
        <v>2</v>
      </c>
      <c r="B33" s="47"/>
      <c r="C33" s="36">
        <f>SUM('[2]SPM poverty tables'!$G$215:$H$218)</f>
        <v>167</v>
      </c>
      <c r="D33" s="37">
        <f t="shared" ref="D33:F35" si="15">C33/$B$31</f>
        <v>0.21944809461235218</v>
      </c>
      <c r="E33" s="36">
        <f>SUM('[3]SPM tables'!$G$215:$H$218)</f>
        <v>157</v>
      </c>
      <c r="F33" s="32">
        <f t="shared" si="15"/>
        <v>0.20630749014454666</v>
      </c>
      <c r="G33" s="28">
        <f t="shared" si="1"/>
        <v>-10</v>
      </c>
      <c r="H33" s="33">
        <f t="shared" si="13"/>
        <v>-1.31</v>
      </c>
      <c r="I33" s="26">
        <f t="shared" si="14"/>
        <v>-5.9880239520958084E-2</v>
      </c>
    </row>
    <row r="34" spans="1:9" x14ac:dyDescent="0.2">
      <c r="A34" s="13" t="s">
        <v>3</v>
      </c>
      <c r="B34" s="47"/>
      <c r="C34" s="36">
        <f>SUM('[2]SPM poverty tables'!$G$215:$H$220)</f>
        <v>405</v>
      </c>
      <c r="D34" s="37">
        <f t="shared" si="15"/>
        <v>0.53219448094612354</v>
      </c>
      <c r="E34" s="36">
        <f>SUM('[3]SPM tables'!$G$215:$H$220)</f>
        <v>393</v>
      </c>
      <c r="F34" s="32">
        <f t="shared" si="15"/>
        <v>0.5164257555847569</v>
      </c>
      <c r="G34" s="28">
        <f t="shared" si="1"/>
        <v>-12</v>
      </c>
      <c r="H34" s="33">
        <f t="shared" si="13"/>
        <v>-1.58</v>
      </c>
      <c r="I34" s="26">
        <f t="shared" si="14"/>
        <v>-2.9629629629629631E-2</v>
      </c>
    </row>
    <row r="35" spans="1:9" x14ac:dyDescent="0.2">
      <c r="A35" s="13" t="s">
        <v>4</v>
      </c>
      <c r="B35" s="47"/>
      <c r="C35" s="36">
        <f>SUM('[2]SPM poverty tables'!$G$215:$H$222)</f>
        <v>543</v>
      </c>
      <c r="D35" s="37">
        <f t="shared" si="15"/>
        <v>0.71353482260183965</v>
      </c>
      <c r="E35" s="36">
        <f>SUM('[3]SPM tables'!$G$215:$H$222)</f>
        <v>540</v>
      </c>
      <c r="F35" s="32">
        <f t="shared" si="15"/>
        <v>0.70959264126149801</v>
      </c>
      <c r="G35" s="28">
        <f t="shared" si="1"/>
        <v>-3</v>
      </c>
      <c r="H35" s="33">
        <f t="shared" si="13"/>
        <v>-0.39</v>
      </c>
      <c r="I35" s="26">
        <f t="shared" si="14"/>
        <v>-5.5248618784530384E-3</v>
      </c>
    </row>
    <row r="36" spans="1:9" x14ac:dyDescent="0.2">
      <c r="A36" s="12" t="s">
        <v>68</v>
      </c>
      <c r="B36" s="46"/>
      <c r="C36" s="34"/>
      <c r="D36" s="37"/>
      <c r="E36" s="34"/>
      <c r="F36" s="32"/>
      <c r="G36" s="28"/>
      <c r="H36" s="45"/>
      <c r="I36" s="26"/>
    </row>
    <row r="37" spans="1:9" x14ac:dyDescent="0.2">
      <c r="A37" s="5" t="s">
        <v>28</v>
      </c>
      <c r="B37" s="47">
        <f>('[1]ATTIS Summary Tables'!$H$2651-'[1]ATTIS Summary Tables'!$H$2631)/1000</f>
        <v>1213.3720000000001</v>
      </c>
      <c r="C37" s="36"/>
      <c r="D37" s="37"/>
      <c r="E37" s="36"/>
      <c r="F37" s="32"/>
      <c r="G37" s="28"/>
      <c r="H37" s="45"/>
      <c r="I37" s="26"/>
    </row>
    <row r="38" spans="1:9" x14ac:dyDescent="0.2">
      <c r="A38" s="13" t="s">
        <v>1</v>
      </c>
      <c r="B38" s="47"/>
      <c r="C38" s="36">
        <f>('[2]SPM poverty tables'!$C$2651-'[2]SPM poverty tables'!$C$2631)/1000</f>
        <v>23.302</v>
      </c>
      <c r="D38" s="37">
        <f>C38/$B$37</f>
        <v>1.9204333048727016E-2</v>
      </c>
      <c r="E38" s="36">
        <f>('[3]SPM tables'!$C$2651-'[3]SPM tables'!$C$2631)/1000</f>
        <v>21.99</v>
      </c>
      <c r="F38" s="32">
        <f>E38/$B$37</f>
        <v>1.8123048825916536E-2</v>
      </c>
      <c r="G38" s="28">
        <f t="shared" si="1"/>
        <v>-1.3120000000000012</v>
      </c>
      <c r="H38" s="33">
        <f t="shared" ref="H38:H41" si="16">ROUND((F38-D38)*100,2)</f>
        <v>-0.11</v>
      </c>
      <c r="I38" s="26">
        <f t="shared" ref="I38:I41" si="17">(E38-C38)/C38</f>
        <v>-5.6304179898721191E-2</v>
      </c>
    </row>
    <row r="39" spans="1:9" x14ac:dyDescent="0.2">
      <c r="A39" s="13" t="s">
        <v>2</v>
      </c>
      <c r="B39" s="47"/>
      <c r="C39" s="36">
        <f>('[2]SPM poverty tables'!$D$2651-'[2]SPM poverty tables'!$D$2631)/1000</f>
        <v>114.416</v>
      </c>
      <c r="D39" s="37">
        <f t="shared" ref="D39:F41" si="18">C39/$B$37</f>
        <v>9.4295896064850671E-2</v>
      </c>
      <c r="E39" s="36">
        <f>('[3]SPM tables'!$D$2651-'[3]SPM tables'!$D$2631)/1000</f>
        <v>108.214</v>
      </c>
      <c r="F39" s="32">
        <f t="shared" si="18"/>
        <v>8.9184520493302957E-2</v>
      </c>
      <c r="G39" s="28">
        <f t="shared" si="1"/>
        <v>-6.2019999999999982</v>
      </c>
      <c r="H39" s="33">
        <f t="shared" si="16"/>
        <v>-0.51</v>
      </c>
      <c r="I39" s="26">
        <f t="shared" si="17"/>
        <v>-5.4205705495734849E-2</v>
      </c>
    </row>
    <row r="40" spans="1:9" x14ac:dyDescent="0.2">
      <c r="A40" s="13" t="s">
        <v>3</v>
      </c>
      <c r="B40" s="47"/>
      <c r="C40" s="36">
        <f>('[2]SPM poverty tables'!$E$2651-'[2]SPM poverty tables'!$E$2631)/1000</f>
        <v>305.04700000000003</v>
      </c>
      <c r="D40" s="37">
        <f t="shared" si="18"/>
        <v>0.25140435085035751</v>
      </c>
      <c r="E40" s="36">
        <f>('[3]SPM tables'!$E$2651-'[3]SPM tables'!$E$2631)/1000</f>
        <v>291.38400000000001</v>
      </c>
      <c r="F40" s="32">
        <f t="shared" si="18"/>
        <v>0.24014399541113524</v>
      </c>
      <c r="G40" s="28">
        <f t="shared" si="1"/>
        <v>-13.663000000000011</v>
      </c>
      <c r="H40" s="33">
        <f t="shared" si="16"/>
        <v>-1.1299999999999999</v>
      </c>
      <c r="I40" s="26">
        <f t="shared" si="17"/>
        <v>-4.4789819273751287E-2</v>
      </c>
    </row>
    <row r="41" spans="1:9" x14ac:dyDescent="0.2">
      <c r="A41" s="13" t="s">
        <v>4</v>
      </c>
      <c r="B41" s="47"/>
      <c r="C41" s="36">
        <f>('[2]SPM poverty tables'!$F$2651-'[2]SPM poverty tables'!$F$2631)/1000</f>
        <v>486</v>
      </c>
      <c r="D41" s="37">
        <f t="shared" si="18"/>
        <v>0.4005366861935169</v>
      </c>
      <c r="E41" s="36">
        <f>('[3]SPM tables'!$F$2651-'[3]SPM tables'!$F$2631)/1000</f>
        <v>476.85599999999999</v>
      </c>
      <c r="F41" s="32">
        <f t="shared" si="18"/>
        <v>0.39300066261624628</v>
      </c>
      <c r="G41" s="28">
        <f t="shared" si="1"/>
        <v>-9.1440000000000055</v>
      </c>
      <c r="H41" s="33">
        <f t="shared" si="16"/>
        <v>-0.75</v>
      </c>
      <c r="I41" s="26">
        <f t="shared" si="17"/>
        <v>-1.8814814814814826E-2</v>
      </c>
    </row>
    <row r="42" spans="1:9" x14ac:dyDescent="0.2">
      <c r="A42" s="5" t="s">
        <v>29</v>
      </c>
      <c r="B42" s="47">
        <f>'[1]ATTIS Summary Tables'!$H$2631/1000</f>
        <v>874.05799999999999</v>
      </c>
      <c r="C42" s="36"/>
      <c r="D42" s="37"/>
      <c r="E42" s="36"/>
      <c r="F42" s="32"/>
      <c r="G42" s="28"/>
      <c r="H42" s="45"/>
      <c r="I42" s="26"/>
    </row>
    <row r="43" spans="1:9" x14ac:dyDescent="0.2">
      <c r="A43" s="13" t="s">
        <v>1</v>
      </c>
      <c r="B43" s="47"/>
      <c r="C43" s="36">
        <f>'[2]SPM poverty tables'!$C$2631/1000</f>
        <v>25.779</v>
      </c>
      <c r="D43" s="37">
        <f>C43/$B$42</f>
        <v>2.9493466108656406E-2</v>
      </c>
      <c r="E43" s="36">
        <f>'[3]SPM tables'!$C$2631/1000</f>
        <v>23.411000000000001</v>
      </c>
      <c r="F43" s="32">
        <f>E43/$B$42</f>
        <v>2.6784263744511237E-2</v>
      </c>
      <c r="G43" s="28">
        <f t="shared" si="1"/>
        <v>-2.3679999999999986</v>
      </c>
      <c r="H43" s="38">
        <f t="shared" ref="H43:H46" si="19">ROUND((F43-D43)*100,2)</f>
        <v>-0.27</v>
      </c>
      <c r="I43" s="32">
        <f t="shared" ref="I43:I46" si="20">(E43-C43)/C43</f>
        <v>-9.185771364288757E-2</v>
      </c>
    </row>
    <row r="44" spans="1:9" x14ac:dyDescent="0.2">
      <c r="A44" s="13" t="s">
        <v>2</v>
      </c>
      <c r="B44" s="47"/>
      <c r="C44" s="36">
        <f>'[2]SPM poverty tables'!$D$2631/1000</f>
        <v>165.648</v>
      </c>
      <c r="D44" s="37">
        <f t="shared" ref="D44:F46" si="21">C44/$B$42</f>
        <v>0.18951602754050645</v>
      </c>
      <c r="E44" s="36">
        <f>'[3]SPM tables'!$D$2631/1000</f>
        <v>148.64599999999999</v>
      </c>
      <c r="F44" s="32">
        <f t="shared" si="21"/>
        <v>0.17006422914726482</v>
      </c>
      <c r="G44" s="28">
        <f t="shared" si="1"/>
        <v>-17.00200000000001</v>
      </c>
      <c r="H44" s="38">
        <f t="shared" si="19"/>
        <v>-1.95</v>
      </c>
      <c r="I44" s="32">
        <f t="shared" si="20"/>
        <v>-0.10263933159470691</v>
      </c>
    </row>
    <row r="45" spans="1:9" x14ac:dyDescent="0.2">
      <c r="A45" s="13" t="s">
        <v>3</v>
      </c>
      <c r="B45" s="47"/>
      <c r="C45" s="36">
        <f>'[2]SPM poverty tables'!$E$2631/1000</f>
        <v>418.18700000000001</v>
      </c>
      <c r="D45" s="37">
        <f t="shared" si="21"/>
        <v>0.47844307814813208</v>
      </c>
      <c r="E45" s="36">
        <f>'[3]SPM tables'!$E$2631/1000</f>
        <v>407.37599999999998</v>
      </c>
      <c r="F45" s="32">
        <f t="shared" si="21"/>
        <v>0.46607433373986623</v>
      </c>
      <c r="G45" s="28">
        <f t="shared" si="1"/>
        <v>-10.811000000000035</v>
      </c>
      <c r="H45" s="38">
        <f t="shared" si="19"/>
        <v>-1.24</v>
      </c>
      <c r="I45" s="32">
        <f t="shared" si="20"/>
        <v>-2.5852070963468581E-2</v>
      </c>
    </row>
    <row r="46" spans="1:9" ht="13.5" thickBot="1" x14ac:dyDescent="0.25">
      <c r="A46" s="16" t="s">
        <v>4</v>
      </c>
      <c r="B46" s="48"/>
      <c r="C46" s="39">
        <f>'[2]SPM poverty tables'!$F$2631/1000</f>
        <v>552.22</v>
      </c>
      <c r="D46" s="40">
        <f t="shared" si="21"/>
        <v>0.6317887371318609</v>
      </c>
      <c r="E46" s="39">
        <f>'[3]SPM tables'!$F$2631/1000</f>
        <v>549.69399999999996</v>
      </c>
      <c r="F46" s="41">
        <f t="shared" si="21"/>
        <v>0.62889876873159445</v>
      </c>
      <c r="G46" s="28">
        <f t="shared" si="1"/>
        <v>-2.5260000000000673</v>
      </c>
      <c r="H46" s="43">
        <f t="shared" si="19"/>
        <v>-0.28999999999999998</v>
      </c>
      <c r="I46" s="41">
        <f t="shared" si="20"/>
        <v>-4.5742638803376685E-3</v>
      </c>
    </row>
    <row r="47" spans="1:9" ht="15" customHeight="1" x14ac:dyDescent="0.2">
      <c r="A47" s="76" t="s">
        <v>86</v>
      </c>
      <c r="B47" s="76"/>
      <c r="C47" s="76"/>
      <c r="D47" s="76"/>
      <c r="E47" s="76"/>
      <c r="F47" s="76"/>
      <c r="G47" s="76"/>
      <c r="H47" s="76"/>
      <c r="I47" s="76"/>
    </row>
    <row r="48" spans="1:9" ht="27" customHeight="1" x14ac:dyDescent="0.2">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election activeCell="B6" sqref="B6"/>
    </sheetView>
  </sheetViews>
  <sheetFormatPr defaultColWidth="9.140625" defaultRowHeight="12.75" x14ac:dyDescent="0.2"/>
  <cols>
    <col min="1" max="1" width="66.5703125" style="1" customWidth="1"/>
    <col min="2" max="2" width="28.7109375" style="17" customWidth="1"/>
    <col min="3" max="3" width="9.140625" style="1" customWidth="1"/>
    <col min="4" max="4" width="9.140625" style="1"/>
    <col min="5" max="5" width="9.140625" style="1" customWidth="1"/>
    <col min="6" max="16384" width="9.140625" style="1"/>
  </cols>
  <sheetData>
    <row r="1" spans="1:2" x14ac:dyDescent="0.2">
      <c r="A1" s="6" t="s">
        <v>82</v>
      </c>
    </row>
    <row r="2" spans="1:2" x14ac:dyDescent="0.2">
      <c r="A2" s="6" t="s">
        <v>143</v>
      </c>
    </row>
    <row r="3" spans="1:2" x14ac:dyDescent="0.2">
      <c r="A3" s="70" t="s">
        <v>136</v>
      </c>
    </row>
    <row r="4" spans="1:2" x14ac:dyDescent="0.2">
      <c r="A4" s="1" t="s">
        <v>113</v>
      </c>
    </row>
    <row r="5" spans="1:2" ht="63.75" customHeight="1" thickBot="1" x14ac:dyDescent="0.25">
      <c r="A5" s="3"/>
      <c r="B5" s="23" t="s">
        <v>137</v>
      </c>
    </row>
    <row r="6" spans="1:2" x14ac:dyDescent="0.2">
      <c r="A6" s="1" t="s">
        <v>81</v>
      </c>
      <c r="B6" s="9"/>
    </row>
    <row r="7" spans="1:2" x14ac:dyDescent="0.2">
      <c r="A7" s="12" t="s">
        <v>8</v>
      </c>
      <c r="B7" s="28">
        <f>+(B8+B10)</f>
        <v>7446.57</v>
      </c>
    </row>
    <row r="8" spans="1:2" x14ac:dyDescent="0.2">
      <c r="A8" s="12" t="s">
        <v>9</v>
      </c>
      <c r="B8" s="28">
        <f>(+'[4]hh count total'!$B$8+'[4]hh count total'!$B$9)/1000</f>
        <v>2081.886</v>
      </c>
    </row>
    <row r="9" spans="1:2" x14ac:dyDescent="0.2">
      <c r="A9" s="12" t="s">
        <v>10</v>
      </c>
      <c r="B9" s="28">
        <f>+('[4]hh count total'!$B$8)/1000</f>
        <v>781.66399999999999</v>
      </c>
    </row>
    <row r="10" spans="1:2" x14ac:dyDescent="0.2">
      <c r="A10" s="12" t="s">
        <v>11</v>
      </c>
      <c r="B10" s="28">
        <f>(+'[4]hh count total'!$B$10)/1000</f>
        <v>5364.6840000000002</v>
      </c>
    </row>
    <row r="11" spans="1:2" x14ac:dyDescent="0.2">
      <c r="A11" s="1" t="s">
        <v>31</v>
      </c>
    </row>
    <row r="12" spans="1:2" x14ac:dyDescent="0.2">
      <c r="A12" s="12" t="s">
        <v>32</v>
      </c>
      <c r="B12" s="17" t="s">
        <v>63</v>
      </c>
    </row>
    <row r="13" spans="1:2" x14ac:dyDescent="0.2">
      <c r="A13" s="5" t="s">
        <v>8</v>
      </c>
      <c r="B13" s="28">
        <f>'[3]CustomOutput (table 5)'!$D$13/1000</f>
        <v>2268.38</v>
      </c>
    </row>
    <row r="14" spans="1:2" x14ac:dyDescent="0.2">
      <c r="A14" s="5" t="s">
        <v>9</v>
      </c>
      <c r="B14" s="28">
        <f>'[3]CustomOutput (table 5)'!$D$14/1000</f>
        <v>1975.51</v>
      </c>
    </row>
    <row r="15" spans="1:2" x14ac:dyDescent="0.2">
      <c r="A15" s="5" t="s">
        <v>10</v>
      </c>
      <c r="B15" s="28">
        <f>'[3]CustomOutput (table 5)'!$D$15/1000</f>
        <v>777.673</v>
      </c>
    </row>
    <row r="16" spans="1:2" x14ac:dyDescent="0.2">
      <c r="A16" s="5" t="s">
        <v>11</v>
      </c>
      <c r="B16" s="28">
        <f>'[3]CustomOutput (table 5)'!$D$16/1000</f>
        <v>292.87200000000001</v>
      </c>
    </row>
    <row r="17" spans="1:2" x14ac:dyDescent="0.2">
      <c r="A17" s="12" t="s">
        <v>33</v>
      </c>
    </row>
    <row r="18" spans="1:2" x14ac:dyDescent="0.2">
      <c r="A18" s="5" t="s">
        <v>8</v>
      </c>
      <c r="B18" s="29">
        <f>IF(B13=0,"--",'[3]CustomOutput (table 5)'!$D$17/'[3]CustomOutput (table 5)'!$D$13)</f>
        <v>687.07183099833367</v>
      </c>
    </row>
    <row r="19" spans="1:2" x14ac:dyDescent="0.2">
      <c r="A19" s="5" t="s">
        <v>9</v>
      </c>
      <c r="B19" s="29">
        <f>IF(B14=0,"--",'[3]CustomOutput (table 5)'!$D$18/'[3]CustomOutput (table 5)'!$D$14)</f>
        <v>626.99252344964088</v>
      </c>
    </row>
    <row r="20" spans="1:2" x14ac:dyDescent="0.2">
      <c r="A20" s="5" t="s">
        <v>10</v>
      </c>
      <c r="B20" s="29">
        <f>IF(B15=0,"--",'[3]CustomOutput (table 5)'!$D$19/'[3]CustomOutput (table 5)'!$D$15)</f>
        <v>982.28175595655239</v>
      </c>
    </row>
    <row r="21" spans="1:2" x14ac:dyDescent="0.2">
      <c r="A21" s="5" t="s">
        <v>11</v>
      </c>
      <c r="B21" s="29">
        <f>IF(B16=0,"--",'[3]CustomOutput (table 5)'!$D$20/'[3]CustomOutput (table 5)'!$D$16)</f>
        <v>1092.3201944876944</v>
      </c>
    </row>
    <row r="22" spans="1:2" x14ac:dyDescent="0.2">
      <c r="A22" s="1" t="s">
        <v>35</v>
      </c>
    </row>
    <row r="23" spans="1:2" x14ac:dyDescent="0.2">
      <c r="A23" s="12" t="s">
        <v>36</v>
      </c>
    </row>
    <row r="24" spans="1:2" x14ac:dyDescent="0.2">
      <c r="A24" s="5" t="s">
        <v>8</v>
      </c>
      <c r="B24" s="28">
        <f>+(B25+B27)</f>
        <v>10.766</v>
      </c>
    </row>
    <row r="25" spans="1:2" x14ac:dyDescent="0.2">
      <c r="A25" s="5" t="s">
        <v>9</v>
      </c>
      <c r="B25" s="28">
        <f>('[3]CustomOutput (table 5)'!$D$22)/1000</f>
        <v>4.218</v>
      </c>
    </row>
    <row r="26" spans="1:2" x14ac:dyDescent="0.2">
      <c r="A26" s="5" t="s">
        <v>10</v>
      </c>
      <c r="B26" s="28">
        <f>'[3]CustomOutput (table 5)'!$D$23/1000</f>
        <v>0.86899999999999999</v>
      </c>
    </row>
    <row r="27" spans="1:2" x14ac:dyDescent="0.2">
      <c r="A27" s="5" t="s">
        <v>11</v>
      </c>
      <c r="B27" s="69">
        <f>'[3]CustomOutput (table 5)'!$D$24/1000</f>
        <v>6.548</v>
      </c>
    </row>
    <row r="28" spans="1:2" x14ac:dyDescent="0.2">
      <c r="A28" s="12" t="s">
        <v>34</v>
      </c>
    </row>
    <row r="29" spans="1:2" x14ac:dyDescent="0.2">
      <c r="A29" s="5" t="s">
        <v>8</v>
      </c>
      <c r="B29" s="29">
        <f>IF(B24=0,"--",'[3]CustomOutput (table 5)'!$D$25/'[3]CustomOutput (table 5)'!$D$21)</f>
        <v>-234.49191900427272</v>
      </c>
    </row>
    <row r="30" spans="1:2" x14ac:dyDescent="0.2">
      <c r="A30" s="5" t="s">
        <v>9</v>
      </c>
      <c r="B30" s="29">
        <f>IF(B25=0,"--",'[3]CustomOutput (table 5)'!$D$26/'[3]CustomOutput (table 5)'!$D$22)</f>
        <v>-323.69369369369372</v>
      </c>
    </row>
    <row r="31" spans="1:2" x14ac:dyDescent="0.2">
      <c r="A31" s="5" t="s">
        <v>10</v>
      </c>
      <c r="B31" s="29">
        <f>IF(B26=0,"--",'[3]CustomOutput (table 5)'!$D$27/'[3]CustomOutput (table 5)'!$D$23)</f>
        <v>-809.76985040276179</v>
      </c>
    </row>
    <row r="32" spans="1:2" ht="13.5" thickBot="1" x14ac:dyDescent="0.25">
      <c r="A32" s="14" t="s">
        <v>11</v>
      </c>
      <c r="B32" s="29">
        <f>IF(B27=0,"--",'[3]CustomOutput (table 5)'!$D$28/'[3]CustomOutput (table 5)'!$D$24)</f>
        <v>-177.03115455100794</v>
      </c>
    </row>
    <row r="33" spans="1:5" ht="28.5" customHeight="1" x14ac:dyDescent="0.2">
      <c r="A33" s="76" t="s">
        <v>86</v>
      </c>
      <c r="B33" s="76"/>
    </row>
    <row r="34" spans="1:5" ht="40.5" customHeight="1" x14ac:dyDescent="0.2">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40625" defaultRowHeight="12.75" x14ac:dyDescent="0.2"/>
  <cols>
    <col min="1" max="1" width="50.28515625" style="1" customWidth="1"/>
    <col min="2" max="2" width="12.5703125" style="17" customWidth="1"/>
    <col min="3" max="4" width="14.7109375" style="17" customWidth="1"/>
    <col min="5" max="16384" width="9.140625" style="1"/>
  </cols>
  <sheetData>
    <row r="1" spans="1:4" x14ac:dyDescent="0.2">
      <c r="A1" s="6" t="s">
        <v>83</v>
      </c>
      <c r="B1" s="25"/>
    </row>
    <row r="2" spans="1:4" x14ac:dyDescent="0.2">
      <c r="A2" s="6" t="s">
        <v>144</v>
      </c>
      <c r="B2" s="25"/>
    </row>
    <row r="3" spans="1:4" x14ac:dyDescent="0.2">
      <c r="A3" s="70" t="s">
        <v>136</v>
      </c>
      <c r="B3" s="25"/>
    </row>
    <row r="4" spans="1:4" x14ac:dyDescent="0.2">
      <c r="A4" s="1" t="s">
        <v>124</v>
      </c>
    </row>
    <row r="5" spans="1:4" ht="39" thickBot="1" x14ac:dyDescent="0.25">
      <c r="A5" s="3"/>
      <c r="B5" s="23" t="s">
        <v>0</v>
      </c>
      <c r="C5" s="23" t="s">
        <v>73</v>
      </c>
      <c r="D5" s="23" t="s">
        <v>77</v>
      </c>
    </row>
    <row r="6" spans="1:4" ht="15" x14ac:dyDescent="0.2">
      <c r="A6" s="1" t="s">
        <v>122</v>
      </c>
    </row>
    <row r="7" spans="1:4" x14ac:dyDescent="0.2">
      <c r="A7" s="12" t="s">
        <v>13</v>
      </c>
      <c r="B7" s="28">
        <f>+'[4]emp by hh cat'!$B$11/1000</f>
        <v>10245.791999999999</v>
      </c>
    </row>
    <row r="8" spans="1:4" x14ac:dyDescent="0.2">
      <c r="A8" s="12" t="s">
        <v>14</v>
      </c>
      <c r="B8" s="28"/>
    </row>
    <row r="9" spans="1:4" x14ac:dyDescent="0.2">
      <c r="A9" s="12" t="s">
        <v>15</v>
      </c>
    </row>
    <row r="10" spans="1:4" x14ac:dyDescent="0.2">
      <c r="A10" s="12" t="s">
        <v>16</v>
      </c>
    </row>
    <row r="11" spans="1:4" x14ac:dyDescent="0.2">
      <c r="A11" s="1" t="s">
        <v>12</v>
      </c>
    </row>
    <row r="12" spans="1:4" x14ac:dyDescent="0.2">
      <c r="A12" s="12" t="s">
        <v>13</v>
      </c>
      <c r="B12" s="66" t="s">
        <v>39</v>
      </c>
    </row>
    <row r="13" spans="1:4" x14ac:dyDescent="0.2">
      <c r="A13" s="12" t="s">
        <v>14</v>
      </c>
      <c r="B13" s="66" t="s">
        <v>39</v>
      </c>
    </row>
    <row r="14" spans="1:4" x14ac:dyDescent="0.2">
      <c r="A14" s="12" t="s">
        <v>15</v>
      </c>
      <c r="B14" s="66" t="s">
        <v>39</v>
      </c>
    </row>
    <row r="15" spans="1:4" x14ac:dyDescent="0.2">
      <c r="A15" s="12" t="s">
        <v>16</v>
      </c>
      <c r="B15" s="66" t="s">
        <v>39</v>
      </c>
    </row>
    <row r="16" spans="1:4" x14ac:dyDescent="0.2">
      <c r="A16" s="1" t="s">
        <v>17</v>
      </c>
    </row>
    <row r="17" spans="1:5" x14ac:dyDescent="0.2">
      <c r="A17" s="12" t="s">
        <v>14</v>
      </c>
      <c r="B17" s="66" t="s">
        <v>39</v>
      </c>
    </row>
    <row r="18" spans="1:5" x14ac:dyDescent="0.2">
      <c r="A18" s="12" t="s">
        <v>15</v>
      </c>
      <c r="B18" s="66" t="s">
        <v>39</v>
      </c>
    </row>
    <row r="19" spans="1:5" ht="13.5" thickBot="1" x14ac:dyDescent="0.25">
      <c r="A19" s="22" t="s">
        <v>16</v>
      </c>
      <c r="B19" s="67" t="s">
        <v>39</v>
      </c>
      <c r="C19" s="61"/>
      <c r="D19" s="61"/>
    </row>
    <row r="20" spans="1:5" ht="28.5" customHeight="1" x14ac:dyDescent="0.2">
      <c r="A20" s="76" t="s">
        <v>86</v>
      </c>
      <c r="B20" s="76"/>
      <c r="C20" s="76"/>
      <c r="D20" s="76"/>
    </row>
    <row r="21" spans="1:5" x14ac:dyDescent="0.2">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40625" defaultRowHeight="12.75" x14ac:dyDescent="0.2"/>
  <cols>
    <col min="1" max="1" width="56.85546875" style="1" customWidth="1"/>
    <col min="2" max="2" width="12.7109375" style="17" customWidth="1"/>
    <col min="3" max="3" width="24.42578125" style="17" customWidth="1"/>
    <col min="4" max="4" width="16.5703125" style="17" customWidth="1"/>
    <col min="5" max="5" width="16.85546875" style="17" customWidth="1"/>
    <col min="6" max="7" width="9.140625" style="1"/>
    <col min="8" max="8" width="9.85546875" style="1" bestFit="1" customWidth="1"/>
    <col min="9" max="16384" width="9.140625" style="1"/>
  </cols>
  <sheetData>
    <row r="1" spans="1:7" x14ac:dyDescent="0.2">
      <c r="A1" s="6" t="s">
        <v>84</v>
      </c>
      <c r="B1" s="25"/>
      <c r="C1" s="25"/>
      <c r="D1" s="25"/>
      <c r="E1" s="25"/>
      <c r="F1" s="1" t="s">
        <v>63</v>
      </c>
    </row>
    <row r="2" spans="1:7" x14ac:dyDescent="0.2">
      <c r="A2" s="6" t="s">
        <v>145</v>
      </c>
      <c r="B2" s="25"/>
      <c r="C2" s="25"/>
      <c r="D2" s="25"/>
      <c r="E2" s="25"/>
    </row>
    <row r="3" spans="1:7" x14ac:dyDescent="0.2">
      <c r="A3" s="70" t="s">
        <v>136</v>
      </c>
      <c r="B3" s="25"/>
      <c r="C3" s="25"/>
      <c r="D3" s="25"/>
      <c r="E3" s="25"/>
    </row>
    <row r="4" spans="1:7" x14ac:dyDescent="0.2">
      <c r="A4" s="1" t="s">
        <v>114</v>
      </c>
      <c r="B4" s="17" t="s">
        <v>63</v>
      </c>
    </row>
    <row r="5" spans="1:7" ht="29.25" customHeight="1" thickBot="1" x14ac:dyDescent="0.25">
      <c r="C5" s="79" t="s">
        <v>138</v>
      </c>
      <c r="D5" s="79"/>
      <c r="E5" s="79"/>
    </row>
    <row r="6" spans="1:7" ht="41.25" thickBot="1" x14ac:dyDescent="0.25">
      <c r="A6" s="3"/>
      <c r="B6" s="23" t="s">
        <v>130</v>
      </c>
      <c r="C6" s="23" t="s">
        <v>131</v>
      </c>
      <c r="D6" s="23" t="s">
        <v>73</v>
      </c>
      <c r="E6" s="23" t="s">
        <v>77</v>
      </c>
    </row>
    <row r="7" spans="1:7" x14ac:dyDescent="0.2">
      <c r="A7" s="1" t="s">
        <v>40</v>
      </c>
      <c r="B7" s="26"/>
      <c r="C7" s="26"/>
      <c r="D7" s="26"/>
    </row>
    <row r="8" spans="1:7" x14ac:dyDescent="0.2">
      <c r="A8" s="12" t="s">
        <v>41</v>
      </c>
      <c r="B8" s="27">
        <f>'[2]key results (script)'!$B$303/1000</f>
        <v>376.85700000000003</v>
      </c>
      <c r="C8" s="27">
        <f>'[3]Script (key results)'!$B$303/1000</f>
        <v>377.12799999999999</v>
      </c>
      <c r="D8" s="28">
        <f>C8-B8</f>
        <v>0.27099999999995816</v>
      </c>
      <c r="E8" s="26">
        <f>(C8-B8)/B8</f>
        <v>7.1910565546071364E-4</v>
      </c>
    </row>
    <row r="9" spans="1:7" x14ac:dyDescent="0.2">
      <c r="A9" s="12" t="s">
        <v>42</v>
      </c>
      <c r="B9" s="29">
        <f>'[2]key results (script)'!$B$304/1000000</f>
        <v>1904.9406719999999</v>
      </c>
      <c r="C9" s="29">
        <f>'[3]Script (key results)'!$B$304/1000000</f>
        <v>1910.5391360000001</v>
      </c>
      <c r="D9" s="29">
        <f>C9-B9</f>
        <v>5.5984640000001491</v>
      </c>
      <c r="E9" s="26">
        <f>(C9-B9)/B9</f>
        <v>2.9389177743379871E-3</v>
      </c>
    </row>
    <row r="10" spans="1:7" x14ac:dyDescent="0.2">
      <c r="A10" s="4"/>
      <c r="G10" s="62"/>
    </row>
    <row r="11" spans="1:7" ht="15" x14ac:dyDescent="0.2">
      <c r="A11" s="1" t="s">
        <v>110</v>
      </c>
    </row>
    <row r="12" spans="1:7" x14ac:dyDescent="0.2">
      <c r="A12" s="12" t="s">
        <v>108</v>
      </c>
      <c r="B12" s="28">
        <f>+('[2]key results (script)'!$B$271+'[2]key results (script)'!$B$267)/1000</f>
        <v>601.52200000000005</v>
      </c>
      <c r="C12" s="28">
        <f>+('[3]Script (key results)'!$B$271+'[3]Script (key results)'!$B$267)/1000</f>
        <v>601.375</v>
      </c>
      <c r="D12" s="28">
        <f>C12-B12</f>
        <v>-0.1470000000000482</v>
      </c>
      <c r="E12" s="26">
        <f>(C12-B12)/B12</f>
        <v>-2.443800891738759E-4</v>
      </c>
    </row>
    <row r="13" spans="1:7" x14ac:dyDescent="0.2">
      <c r="A13" s="12" t="s">
        <v>109</v>
      </c>
      <c r="B13" s="29">
        <f>+('[2]key results (script)'!$B$266+'[2]key results (script)'!$B$268)/1000000</f>
        <v>4160.5646079999997</v>
      </c>
      <c r="C13" s="29">
        <f>+('[3]Script (key results)'!$B$266+'[3]Script (key results)'!$B$268)/1000000</f>
        <v>4158.164992</v>
      </c>
      <c r="D13" s="29">
        <f>C13-B13</f>
        <v>-2.3996159999996962</v>
      </c>
      <c r="E13" s="26">
        <f>(C13-B13)/B13</f>
        <v>-5.7675249060804793E-4</v>
      </c>
      <c r="F13" s="10"/>
    </row>
    <row r="14" spans="1:7" x14ac:dyDescent="0.2">
      <c r="A14" s="4"/>
    </row>
    <row r="15" spans="1:7" ht="25.5" x14ac:dyDescent="0.2">
      <c r="A15" s="11" t="s">
        <v>43</v>
      </c>
    </row>
    <row r="16" spans="1:7" x14ac:dyDescent="0.2">
      <c r="A16" s="12" t="s">
        <v>44</v>
      </c>
      <c r="B16" s="28">
        <f>SUM('[2]key results (script)'!$B$296,'[2]key results (script)'!$B$298)/1000</f>
        <v>120.907</v>
      </c>
      <c r="C16" s="28">
        <f>SUM('[3]Script (key results)'!$B$296,'[3]Script (key results)'!$B$298)/1000</f>
        <v>141.43700000000001</v>
      </c>
      <c r="D16" s="28">
        <f>C16-B16</f>
        <v>20.530000000000015</v>
      </c>
      <c r="E16" s="26">
        <f>(C16-B16)/B16</f>
        <v>0.16979992887095052</v>
      </c>
      <c r="F16" s="10"/>
    </row>
    <row r="17" spans="1:6" x14ac:dyDescent="0.2">
      <c r="A17" s="12" t="s">
        <v>45</v>
      </c>
      <c r="B17" s="29">
        <f>'[2]key results (script)'!$B$297/1000000</f>
        <v>816.16134399999999</v>
      </c>
      <c r="C17" s="29">
        <f>'[3]Script (key results)'!$B$297/1000000</f>
        <v>946.20121600000004</v>
      </c>
      <c r="D17" s="29">
        <f>C17-B17</f>
        <v>130.03987200000006</v>
      </c>
      <c r="E17" s="26">
        <f>(C17-B17)/B17</f>
        <v>0.15933108441852406</v>
      </c>
    </row>
    <row r="18" spans="1:6" x14ac:dyDescent="0.2">
      <c r="A18" s="4"/>
    </row>
    <row r="19" spans="1:6" x14ac:dyDescent="0.2">
      <c r="A19" s="1" t="s">
        <v>46</v>
      </c>
    </row>
    <row r="20" spans="1:6" x14ac:dyDescent="0.2">
      <c r="A20" s="12" t="s">
        <v>47</v>
      </c>
      <c r="B20" s="28">
        <f>'[2]key results (script)'!$B$52/1000</f>
        <v>107.706</v>
      </c>
      <c r="C20" s="28">
        <f>'[3]Script (key results)'!$B$52/1000</f>
        <v>111.363</v>
      </c>
      <c r="D20" s="28">
        <f>C20-B20</f>
        <v>3.6569999999999965</v>
      </c>
      <c r="E20" s="26">
        <f>(C20-B20)/B20</f>
        <v>3.3953540192746885E-2</v>
      </c>
    </row>
    <row r="21" spans="1:6" x14ac:dyDescent="0.2">
      <c r="A21" s="12" t="s">
        <v>42</v>
      </c>
      <c r="B21" s="29">
        <f>'[2]key results (script)'!$B$54/1000000</f>
        <v>513.85062400000004</v>
      </c>
      <c r="C21" s="29">
        <f>'[3]Script (key results)'!$B$54/1000000</f>
        <v>534.26860799999997</v>
      </c>
      <c r="D21" s="29">
        <f>C21-B21</f>
        <v>20.417983999999933</v>
      </c>
      <c r="E21" s="26">
        <f>(C21-B21)/B21</f>
        <v>3.9735251931892042E-2</v>
      </c>
      <c r="F21" s="10"/>
    </row>
    <row r="22" spans="1:6" x14ac:dyDescent="0.2">
      <c r="A22" s="4"/>
    </row>
    <row r="23" spans="1:6" x14ac:dyDescent="0.2">
      <c r="A23" s="1" t="s">
        <v>48</v>
      </c>
    </row>
    <row r="24" spans="1:6" x14ac:dyDescent="0.2">
      <c r="A24" s="12" t="s">
        <v>49</v>
      </c>
      <c r="B24" s="28">
        <f>'[2]key results (script)'!$B$15/1000</f>
        <v>105.837</v>
      </c>
      <c r="C24" s="28">
        <f>'[3]Script (key results)'!$B$15/1000</f>
        <v>230.62100000000001</v>
      </c>
      <c r="D24" s="28">
        <f>C24-B24</f>
        <v>124.78400000000001</v>
      </c>
      <c r="E24" s="26">
        <f>(C24-B24)/B24</f>
        <v>1.1790205693661007</v>
      </c>
      <c r="F24" s="10"/>
    </row>
    <row r="25" spans="1:6" x14ac:dyDescent="0.2">
      <c r="A25" s="12" t="s">
        <v>103</v>
      </c>
      <c r="B25" s="71">
        <v>849.8</v>
      </c>
      <c r="C25" s="71">
        <v>2509.2199999999998</v>
      </c>
      <c r="D25" s="29">
        <f>C25-B25</f>
        <v>1659.4199999999998</v>
      </c>
      <c r="E25" s="26">
        <f>(C25-B25)/B25</f>
        <v>1.9527182866556836</v>
      </c>
    </row>
    <row r="26" spans="1:6" x14ac:dyDescent="0.2">
      <c r="A26" s="4"/>
    </row>
    <row r="27" spans="1:6" x14ac:dyDescent="0.2">
      <c r="A27" s="1" t="s">
        <v>50</v>
      </c>
    </row>
    <row r="28" spans="1:6" x14ac:dyDescent="0.2">
      <c r="A28" s="12" t="s">
        <v>51</v>
      </c>
      <c r="B28" s="28">
        <f>'[2]key results (script)'!$B$56/1000</f>
        <v>546.678</v>
      </c>
      <c r="C28" s="28">
        <f>'[3]Script (key results)'!$B$56/1000</f>
        <v>546.38499999999999</v>
      </c>
      <c r="D28" s="28">
        <f>C28-B28</f>
        <v>-0.29300000000000637</v>
      </c>
      <c r="E28" s="26">
        <f>(C28-B28)/B28</f>
        <v>-5.3596449829699817E-4</v>
      </c>
    </row>
    <row r="29" spans="1:6" ht="15" x14ac:dyDescent="0.2">
      <c r="A29" s="12" t="s">
        <v>91</v>
      </c>
      <c r="B29" s="29">
        <f>'[2]key results (script)'!$B$60/1000000</f>
        <v>7302.6063359999998</v>
      </c>
      <c r="C29" s="29">
        <f>'[3]Script (key results)'!$B$60/1000000</f>
        <v>7275.5747840000004</v>
      </c>
      <c r="D29" s="29">
        <f>C29-B29</f>
        <v>-27.031551999999465</v>
      </c>
      <c r="E29" s="26">
        <f>(C29-B29)/B29</f>
        <v>-3.7016307269283791E-3</v>
      </c>
      <c r="F29" s="10"/>
    </row>
    <row r="30" spans="1:6" x14ac:dyDescent="0.2">
      <c r="A30" s="4"/>
    </row>
    <row r="31" spans="1:6" x14ac:dyDescent="0.2">
      <c r="A31" s="1" t="s">
        <v>52</v>
      </c>
    </row>
    <row r="32" spans="1:6" x14ac:dyDescent="0.2">
      <c r="A32" s="12" t="s">
        <v>47</v>
      </c>
      <c r="B32" s="28">
        <f>'[2]key results (script)'!$B$87/1000</f>
        <v>1427.085</v>
      </c>
      <c r="C32" s="28">
        <f>'[3]Script (key results)'!$B$87/1000</f>
        <v>1424.866</v>
      </c>
      <c r="D32" s="28">
        <f>C32-B32</f>
        <v>-2.2190000000000509</v>
      </c>
      <c r="E32" s="26">
        <f>(C32-B32)/B32</f>
        <v>-1.5549178920667311E-3</v>
      </c>
      <c r="F32" s="10"/>
    </row>
    <row r="33" spans="1:8" x14ac:dyDescent="0.2">
      <c r="A33" s="12" t="s">
        <v>42</v>
      </c>
      <c r="B33" s="29">
        <f>'[2]key results (script)'!$B$88/1000000</f>
        <v>3750.4473600000001</v>
      </c>
      <c r="C33" s="29">
        <f>'[3]Script (key results)'!$B$88/1000000</f>
        <v>3689.0874880000001</v>
      </c>
      <c r="D33" s="29">
        <f>C33-B33</f>
        <v>-61.359871999999996</v>
      </c>
      <c r="E33" s="26">
        <f>(C33-B33)/B33</f>
        <v>-1.6360680769560248E-2</v>
      </c>
      <c r="F33" s="10"/>
    </row>
    <row r="34" spans="1:8" x14ac:dyDescent="0.2">
      <c r="A34" s="4"/>
    </row>
    <row r="35" spans="1:8" ht="27.75" x14ac:dyDescent="0.2">
      <c r="A35" s="11" t="s">
        <v>126</v>
      </c>
    </row>
    <row r="36" spans="1:8" x14ac:dyDescent="0.2">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2">
      <c r="A37" s="12" t="s">
        <v>127</v>
      </c>
      <c r="B37" s="29">
        <f>'[2]key results (script)'!$B$311/1000000</f>
        <v>352.02771200000001</v>
      </c>
      <c r="C37" s="29">
        <f>'[3]Script (key results)'!$B$311/1000000</f>
        <v>352.02771200000001</v>
      </c>
      <c r="D37" s="29">
        <f>C37-B37</f>
        <v>0</v>
      </c>
      <c r="E37" s="26">
        <f>(C37-B37)/B37</f>
        <v>0</v>
      </c>
      <c r="F37" s="10"/>
    </row>
    <row r="38" spans="1:8" x14ac:dyDescent="0.2">
      <c r="A38" s="4"/>
    </row>
    <row r="39" spans="1:8" x14ac:dyDescent="0.2">
      <c r="A39" s="1" t="s">
        <v>53</v>
      </c>
    </row>
    <row r="40" spans="1:8" x14ac:dyDescent="0.2">
      <c r="A40" s="12" t="s">
        <v>54</v>
      </c>
      <c r="B40" s="28">
        <f>'[2]key results (script)'!$B$70/1000</f>
        <v>1469.15</v>
      </c>
      <c r="C40" s="28">
        <f>'[3]Script (key results)'!$B$70/1000</f>
        <v>1469.027</v>
      </c>
      <c r="D40" s="28">
        <f>C40-B40</f>
        <v>-0.12300000000004729</v>
      </c>
      <c r="E40" s="26">
        <f>(C40-B40)/B40</f>
        <v>-8.372187999867085E-5</v>
      </c>
      <c r="G40" s="19"/>
    </row>
    <row r="41" spans="1:8" ht="15" x14ac:dyDescent="0.2">
      <c r="A41" s="12" t="s">
        <v>111</v>
      </c>
      <c r="B41" s="29">
        <f>'[2]key results (script)'!$B$71/1000000</f>
        <v>226.94731200000001</v>
      </c>
      <c r="C41" s="29">
        <f>'[3]Script (key results)'!$B$71/1000000</f>
        <v>226.901568</v>
      </c>
      <c r="D41" s="29">
        <f>C41-B41</f>
        <v>-4.574400000001333E-2</v>
      </c>
      <c r="E41" s="26">
        <f>(C41-B41)/B41</f>
        <v>-2.0156220224372312E-4</v>
      </c>
      <c r="G41" s="19"/>
    </row>
    <row r="42" spans="1:8" x14ac:dyDescent="0.2">
      <c r="A42" s="4"/>
      <c r="G42" s="20"/>
    </row>
    <row r="43" spans="1:8" x14ac:dyDescent="0.2">
      <c r="A43" s="1" t="s">
        <v>104</v>
      </c>
    </row>
    <row r="44" spans="1:8" x14ac:dyDescent="0.2">
      <c r="A44" s="12" t="s">
        <v>105</v>
      </c>
      <c r="B44" s="29">
        <f>(+'[2]key results (script)'!$B$276+'[2]key results (script)'!$B$277)/1000000</f>
        <v>35898.250240000001</v>
      </c>
      <c r="C44" s="29">
        <f>+('[3]Script (key results)'!$B$276+'[3]Script (key results)'!$B$277)/1000000</f>
        <v>35686.876032</v>
      </c>
      <c r="D44" s="29">
        <f t="shared" ref="D44" si="0">C44-B44</f>
        <v>-211.37420800000109</v>
      </c>
      <c r="E44" s="26">
        <f t="shared" ref="E44:E53" si="1">(C44-B44)/B44</f>
        <v>-5.8881479344214714E-3</v>
      </c>
    </row>
    <row r="45" spans="1:8" x14ac:dyDescent="0.2">
      <c r="A45" s="12" t="s">
        <v>87</v>
      </c>
      <c r="E45" s="26"/>
      <c r="F45" s="10"/>
      <c r="G45" s="21"/>
      <c r="H45" s="62"/>
    </row>
    <row r="46" spans="1:8" x14ac:dyDescent="0.2">
      <c r="A46" s="5" t="s">
        <v>89</v>
      </c>
      <c r="B46" s="28">
        <f>+'[2]key results (script)'!$B$278/1000</f>
        <v>1008.817</v>
      </c>
      <c r="C46" s="28">
        <f>'[3]Script (key results)'!$B$278/1000</f>
        <v>1004.818</v>
      </c>
      <c r="D46" s="28">
        <f>C46-B46</f>
        <v>-3.9990000000000236</v>
      </c>
      <c r="E46" s="26">
        <f t="shared" si="1"/>
        <v>-3.9640489801421102E-3</v>
      </c>
      <c r="G46" s="21"/>
      <c r="H46" s="62"/>
    </row>
    <row r="47" spans="1:8" x14ac:dyDescent="0.2">
      <c r="A47" s="5" t="s">
        <v>90</v>
      </c>
      <c r="B47" s="29">
        <f>+(('[2]key results (script)'!$B$278)*'[2]key results (script)'!$B$279)/1000000</f>
        <v>624.45772299999999</v>
      </c>
      <c r="C47" s="29">
        <f>+('[3]Script (key results)'!$B$278*'[3]Script (key results)'!$B$279)</f>
        <v>619972706</v>
      </c>
      <c r="D47" s="29">
        <f>C47-B47</f>
        <v>619972081.54227698</v>
      </c>
      <c r="E47" s="26">
        <f t="shared" si="1"/>
        <v>992816.74116195855</v>
      </c>
      <c r="G47" s="20"/>
    </row>
    <row r="48" spans="1:8" x14ac:dyDescent="0.2">
      <c r="A48" s="12" t="s">
        <v>135</v>
      </c>
      <c r="B48" s="29"/>
      <c r="C48" s="29"/>
      <c r="D48" s="29"/>
      <c r="E48" s="26"/>
      <c r="G48" s="20"/>
    </row>
    <row r="49" spans="1:8" x14ac:dyDescent="0.2">
      <c r="A49" s="5" t="s">
        <v>89</v>
      </c>
      <c r="B49" s="28">
        <f>+[2]ESCC!$B$8/1000</f>
        <v>1687.5719999999999</v>
      </c>
      <c r="C49" s="28">
        <f>+[3]ESCC!$B$8/1000</f>
        <v>2021.9069999999999</v>
      </c>
      <c r="D49" s="28">
        <f>C49-B49</f>
        <v>334.33500000000004</v>
      </c>
      <c r="E49" s="26">
        <f t="shared" ref="E49:E50" si="2">(C49-B49)/B49</f>
        <v>0.19811599149547401</v>
      </c>
      <c r="G49" s="20"/>
    </row>
    <row r="50" spans="1:8" x14ac:dyDescent="0.2">
      <c r="A50" s="5" t="s">
        <v>90</v>
      </c>
      <c r="B50" s="29">
        <f>+[2]ESCC!$C$8/1000000</f>
        <v>1018.078381</v>
      </c>
      <c r="C50" s="29">
        <f>+([3]ESCC!$C$8/1000000)+(+[3]ESCC!$C$18/1000000)</f>
        <v>1828.5852919999998</v>
      </c>
      <c r="D50" s="29">
        <f>C50-B50</f>
        <v>810.50691099999972</v>
      </c>
      <c r="E50" s="26">
        <f t="shared" si="2"/>
        <v>0.79611445064169351</v>
      </c>
      <c r="G50" s="20"/>
    </row>
    <row r="51" spans="1:8" x14ac:dyDescent="0.2">
      <c r="A51" s="12" t="s">
        <v>88</v>
      </c>
      <c r="B51" s="29"/>
      <c r="C51" s="29"/>
      <c r="D51" s="29"/>
      <c r="E51" s="26"/>
      <c r="F51" s="10"/>
    </row>
    <row r="52" spans="1:8" x14ac:dyDescent="0.2">
      <c r="A52" s="5" t="s">
        <v>89</v>
      </c>
      <c r="B52" s="28">
        <f>+'[2]key results (script)'!$B$280/1000</f>
        <v>447.94299999999998</v>
      </c>
      <c r="C52" s="28">
        <f>'[3]Script (key results)'!$B$280/1000</f>
        <v>483.375</v>
      </c>
      <c r="D52" s="28">
        <f>C52-B52</f>
        <v>35.432000000000016</v>
      </c>
      <c r="E52" s="26">
        <f t="shared" si="1"/>
        <v>7.9099349694045931E-2</v>
      </c>
      <c r="F52" s="10"/>
      <c r="H52" s="62"/>
    </row>
    <row r="53" spans="1:8" x14ac:dyDescent="0.2">
      <c r="A53" s="5" t="s">
        <v>90</v>
      </c>
      <c r="B53" s="29">
        <f>+('[2]key results (script)'!$B$280*'[2]key results (script)'!$B$281)/1000000</f>
        <v>222.17972800000001</v>
      </c>
      <c r="C53" s="29">
        <f>+('[3]Script (key results)'!$B$280*'[3]Script (key results)'!$B$281)/1000000</f>
        <v>181.265625</v>
      </c>
      <c r="D53" s="29">
        <f>C53-B53</f>
        <v>-40.914103000000011</v>
      </c>
      <c r="E53" s="26">
        <f t="shared" si="1"/>
        <v>-0.18414867714663874</v>
      </c>
      <c r="F53" s="10"/>
    </row>
    <row r="54" spans="1:8" x14ac:dyDescent="0.2">
      <c r="A54" s="12" t="s">
        <v>97</v>
      </c>
      <c r="E54" s="26"/>
      <c r="F54" s="10"/>
    </row>
    <row r="55" spans="1:8" x14ac:dyDescent="0.2">
      <c r="A55" s="5" t="s">
        <v>89</v>
      </c>
      <c r="B55" s="17">
        <v>0</v>
      </c>
      <c r="C55" s="17">
        <v>0</v>
      </c>
      <c r="D55" s="28">
        <f>C55-B55</f>
        <v>0</v>
      </c>
      <c r="E55" s="26" t="str">
        <f>IF(B55-C55&lt;&gt;0,(C55-B55)/B55,"--")</f>
        <v>--</v>
      </c>
      <c r="F55" s="10"/>
    </row>
    <row r="56" spans="1:8" x14ac:dyDescent="0.2">
      <c r="A56" s="5" t="s">
        <v>90</v>
      </c>
      <c r="B56" s="17">
        <v>0</v>
      </c>
      <c r="C56" s="17">
        <v>0</v>
      </c>
      <c r="D56" s="28">
        <f>C56-B56</f>
        <v>0</v>
      </c>
      <c r="E56" s="26" t="str">
        <f>IF(B56-C56&lt;&gt;0,(C56-B56)/B56,"--")</f>
        <v>--</v>
      </c>
      <c r="F56" s="10"/>
    </row>
    <row r="57" spans="1:8" x14ac:dyDescent="0.2">
      <c r="A57" s="5"/>
      <c r="D57" s="28"/>
      <c r="E57" s="26"/>
      <c r="F57" s="10"/>
    </row>
    <row r="58" spans="1:8" x14ac:dyDescent="0.2">
      <c r="A58" s="1" t="s">
        <v>106</v>
      </c>
      <c r="D58" s="28"/>
      <c r="E58" s="26"/>
      <c r="F58" s="10"/>
    </row>
    <row r="59" spans="1:8" x14ac:dyDescent="0.2">
      <c r="A59" s="12" t="s">
        <v>107</v>
      </c>
      <c r="B59" s="29">
        <f>+('[2]key results (script)'!$B$22+'[2]key results (script)'!$B$23)/1000000</f>
        <v>10771.293326000001</v>
      </c>
      <c r="C59" s="29">
        <f>+('[3]Script (key results)'!$B$22+'[3]Script (key results)'!$B$23)/1000000</f>
        <v>10784.015203999999</v>
      </c>
      <c r="D59" s="65">
        <f>C59-B59</f>
        <v>12.721877999998469</v>
      </c>
      <c r="E59" s="26">
        <f t="shared" ref="E59" si="3">(C59-B59)/B59</f>
        <v>1.181091036606542E-3</v>
      </c>
      <c r="F59" s="10"/>
    </row>
    <row r="60" spans="1:8" x14ac:dyDescent="0.2">
      <c r="A60" s="12"/>
      <c r="B60" s="29"/>
      <c r="C60" s="29"/>
      <c r="D60" s="29"/>
      <c r="E60" s="26"/>
      <c r="F60" s="10"/>
    </row>
    <row r="61" spans="1:8" x14ac:dyDescent="0.2">
      <c r="A61" s="1" t="s">
        <v>116</v>
      </c>
      <c r="F61" s="10"/>
    </row>
    <row r="62" spans="1:8" ht="15" x14ac:dyDescent="0.2">
      <c r="A62" s="12" t="s">
        <v>118</v>
      </c>
      <c r="B62" s="29">
        <f>+'[2]key results (script)'!$B$73+'[2]key results (script)'!$B$74+'[2]key results (script)'!$B$75</f>
        <v>84903</v>
      </c>
      <c r="C62" s="29">
        <f>+'[3]Script (key results)'!$B$73+'[3]Script (key results)'!$B$74+'[3]Script (key results)'!$B$75</f>
        <v>85013</v>
      </c>
      <c r="D62" s="28">
        <f t="shared" ref="D62:D63" si="4">C62-B62</f>
        <v>110</v>
      </c>
      <c r="E62" s="26">
        <f t="shared" ref="E62:E63" si="5">(C62-B62)/B62</f>
        <v>1.2955961509016171E-3</v>
      </c>
      <c r="F62" s="10"/>
    </row>
    <row r="63" spans="1:8" ht="13.5" thickBot="1" x14ac:dyDescent="0.25">
      <c r="A63" s="12" t="s">
        <v>117</v>
      </c>
      <c r="B63" s="29">
        <f>+'[2]key results (script)'!$B$34+'[2]key results (script)'!$B$35</f>
        <v>106852</v>
      </c>
      <c r="C63" s="29">
        <f>+'[3]Script (key results)'!$B$34+'[3]Script (key results)'!$B$35</f>
        <v>106970</v>
      </c>
      <c r="D63" s="29">
        <f t="shared" si="4"/>
        <v>118</v>
      </c>
      <c r="E63" s="26">
        <f t="shared" si="5"/>
        <v>1.1043312244974357E-3</v>
      </c>
      <c r="F63" s="10"/>
    </row>
    <row r="64" spans="1:8" x14ac:dyDescent="0.2">
      <c r="A64" s="78" t="s">
        <v>86</v>
      </c>
      <c r="B64" s="78"/>
      <c r="C64" s="78"/>
      <c r="D64" s="78"/>
      <c r="E64" s="78"/>
    </row>
    <row r="65" spans="1:5" ht="80.25" customHeight="1" x14ac:dyDescent="0.2">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election activeCell="B8" sqref="B8"/>
    </sheetView>
  </sheetViews>
  <sheetFormatPr defaultColWidth="9.140625" defaultRowHeight="12.75" x14ac:dyDescent="0.2"/>
  <cols>
    <col min="1" max="1" width="43.5703125" style="1" customWidth="1"/>
    <col min="2" max="5" width="14.7109375" style="17" customWidth="1"/>
    <col min="6" max="16384" width="9.140625" style="1"/>
  </cols>
  <sheetData>
    <row r="1" spans="1:5" x14ac:dyDescent="0.2">
      <c r="A1" s="6" t="s">
        <v>85</v>
      </c>
    </row>
    <row r="2" spans="1:5" x14ac:dyDescent="0.2">
      <c r="A2" s="6" t="s">
        <v>146</v>
      </c>
    </row>
    <row r="3" spans="1:5" x14ac:dyDescent="0.2">
      <c r="A3" s="70" t="s">
        <v>136</v>
      </c>
    </row>
    <row r="4" spans="1:5" s="30" customFormat="1" x14ac:dyDescent="0.2">
      <c r="A4" s="1" t="s">
        <v>114</v>
      </c>
      <c r="B4" s="60"/>
      <c r="C4" s="60"/>
      <c r="D4" s="60"/>
      <c r="E4" s="60"/>
    </row>
    <row r="5" spans="1:5" ht="26.25" customHeight="1" thickBot="1" x14ac:dyDescent="0.25">
      <c r="B5" s="9"/>
      <c r="C5" s="79" t="s">
        <v>147</v>
      </c>
      <c r="D5" s="79"/>
      <c r="E5" s="79"/>
    </row>
    <row r="6" spans="1:5" ht="39" thickBot="1" x14ac:dyDescent="0.25">
      <c r="A6" s="3"/>
      <c r="B6" s="23" t="s">
        <v>38</v>
      </c>
      <c r="C6" s="23" t="s">
        <v>37</v>
      </c>
      <c r="D6" s="23" t="s">
        <v>120</v>
      </c>
      <c r="E6" s="23" t="s">
        <v>77</v>
      </c>
    </row>
    <row r="7" spans="1:5" ht="27.75" x14ac:dyDescent="0.2">
      <c r="A7" s="64" t="s">
        <v>119</v>
      </c>
      <c r="B7" s="9"/>
      <c r="C7" s="9"/>
      <c r="D7" s="9"/>
    </row>
    <row r="8" spans="1:5" ht="15" x14ac:dyDescent="0.2">
      <c r="A8" s="2" t="s">
        <v>115</v>
      </c>
      <c r="B8" s="63">
        <f>SUM('7. Program Summary'!B9,'7. Program Summary'!B13,'7. Program Summary'!B17,'7. Program Summary'!B21,'7. Program Summary'!B25,'7. Program Summary'!B29,'7. Program Summary'!B33,'7. Program Summary'!B37,'7. Program Summary'!B41)</f>
        <v>19877.345968000001</v>
      </c>
      <c r="C8" s="63">
        <f>SUM('7. Program Summary'!C9,'7. Program Summary'!C13,'7. Program Summary'!C17,'7. Program Summary'!C21,'7. Program Summary'!C25,'7. Program Summary'!C29,'7. Program Summary'!C33,'7. Program Summary'!C37,'7. Program Summary'!C41)</f>
        <v>21601.985504000004</v>
      </c>
      <c r="D8" s="63">
        <f>+C8-B8</f>
        <v>1724.6395360000024</v>
      </c>
      <c r="E8" s="26">
        <f>(C8-B8)/B8</f>
        <v>8.6764074981461436E-2</v>
      </c>
    </row>
    <row r="9" spans="1:5" x14ac:dyDescent="0.2">
      <c r="A9" s="2" t="s">
        <v>133</v>
      </c>
      <c r="B9" s="63">
        <f>+'7. Program Summary'!B44+'7. Program Summary'!B59</f>
        <v>46669.543566</v>
      </c>
      <c r="C9" s="63">
        <f>+'7. Program Summary'!C44+'7. Program Summary'!C59</f>
        <v>46470.891235999996</v>
      </c>
      <c r="D9" s="63">
        <f t="shared" ref="D9:D10" si="0">+C9-B9</f>
        <v>-198.65233000000444</v>
      </c>
      <c r="E9" s="26">
        <f>(C9-B9)/B9</f>
        <v>-4.2565732342993799E-3</v>
      </c>
    </row>
    <row r="10" spans="1:5" ht="13.5" thickBot="1" x14ac:dyDescent="0.25">
      <c r="A10" s="8" t="s">
        <v>134</v>
      </c>
      <c r="B10" s="63">
        <f>(B8-B9)</f>
        <v>-26792.197597999999</v>
      </c>
      <c r="C10" s="63">
        <f>(C8-C9)</f>
        <v>-24868.905731999992</v>
      </c>
      <c r="D10" s="63">
        <f t="shared" si="0"/>
        <v>1923.2918660000068</v>
      </c>
      <c r="E10" s="26">
        <f>(C10-B10)/B10</f>
        <v>-7.1785521100500474E-2</v>
      </c>
    </row>
    <row r="11" spans="1:5" ht="27" customHeight="1" x14ac:dyDescent="0.2">
      <c r="A11" s="76" t="s">
        <v>86</v>
      </c>
      <c r="B11" s="76"/>
      <c r="C11" s="76"/>
      <c r="D11" s="76"/>
      <c r="E11" s="76"/>
    </row>
    <row r="12" spans="1:5" ht="54.75" customHeight="1" x14ac:dyDescent="0.2">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Results, Simulation 3 - November 20, 2023</dc:title>
  <dc:creator>Urban Institute</dc:creator>
  <cp:lastModifiedBy>Albini, Daria (OTDA)</cp:lastModifiedBy>
  <dcterms:created xsi:type="dcterms:W3CDTF">2023-01-09T17:55:27Z</dcterms:created>
  <dcterms:modified xsi:type="dcterms:W3CDTF">2023-11-17T20:16:07Z</dcterms:modified>
</cp:coreProperties>
</file>